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X:\2019\131_Rekonstrukce žst. Tišnov\Záměr projektu\"/>
    </mc:Choice>
  </mc:AlternateContent>
  <xr:revisionPtr revIDLastSave="0" documentId="13_ncr:1_{702B3325-0EA1-4B60-A05F-58CAC06BF78A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List1" sheetId="1" r:id="rId1"/>
    <sheet name="List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B13" i="1" l="1"/>
  <c r="CA13" i="1"/>
  <c r="BY13" i="1"/>
  <c r="CB11" i="1"/>
  <c r="CA11" i="1"/>
  <c r="BY11" i="1"/>
  <c r="CD9" i="1"/>
  <c r="CB9" i="1"/>
  <c r="CA9" i="1"/>
  <c r="BY9" i="1"/>
  <c r="CB7" i="1"/>
  <c r="CA7" i="1"/>
  <c r="BY7" i="1"/>
  <c r="CD5" i="1"/>
  <c r="CB5" i="1"/>
  <c r="CA5" i="1"/>
  <c r="BY5" i="1"/>
  <c r="CB3" i="1"/>
  <c r="CA3" i="1"/>
  <c r="BY3" i="1"/>
  <c r="FR345" i="1"/>
  <c r="FR344" i="1"/>
  <c r="FR343" i="1"/>
  <c r="FR342" i="1"/>
  <c r="FR341" i="1"/>
  <c r="FR340" i="1"/>
  <c r="FR339" i="1"/>
  <c r="EZ316" i="1"/>
  <c r="FA316" i="1"/>
  <c r="FB316" i="1"/>
  <c r="FC316" i="1"/>
  <c r="FD316" i="1"/>
  <c r="FE316" i="1"/>
  <c r="FF316" i="1"/>
  <c r="FG316" i="1"/>
  <c r="FH316" i="1"/>
  <c r="FI316" i="1"/>
  <c r="FJ316" i="1"/>
  <c r="FK316" i="1"/>
  <c r="FL316" i="1"/>
  <c r="FM316" i="1"/>
  <c r="EZ313" i="1"/>
  <c r="FA313" i="1"/>
  <c r="FB313" i="1"/>
  <c r="FC313" i="1"/>
  <c r="FD313" i="1"/>
  <c r="FE313" i="1"/>
  <c r="FF313" i="1"/>
  <c r="FG313" i="1"/>
  <c r="FH313" i="1"/>
  <c r="FI313" i="1"/>
  <c r="FJ313" i="1"/>
  <c r="FK313" i="1"/>
  <c r="FL313" i="1"/>
  <c r="FM313" i="1"/>
  <c r="EZ314" i="1"/>
  <c r="FA314" i="1"/>
  <c r="FB314" i="1"/>
  <c r="FC314" i="1"/>
  <c r="FD314" i="1"/>
  <c r="FE314" i="1"/>
  <c r="FF314" i="1"/>
  <c r="FG314" i="1"/>
  <c r="FH314" i="1"/>
  <c r="FI314" i="1"/>
  <c r="FJ314" i="1"/>
  <c r="FK314" i="1"/>
  <c r="FL314" i="1"/>
  <c r="FM314" i="1"/>
  <c r="EZ315" i="1"/>
  <c r="FA315" i="1"/>
  <c r="FB315" i="1"/>
  <c r="FC315" i="1"/>
  <c r="FD315" i="1"/>
  <c r="FE315" i="1"/>
  <c r="FF315" i="1"/>
  <c r="FG315" i="1"/>
  <c r="FH315" i="1"/>
  <c r="FI315" i="1"/>
  <c r="FJ315" i="1"/>
  <c r="FK315" i="1"/>
  <c r="FL315" i="1"/>
  <c r="FM315" i="1"/>
  <c r="EY316" i="1"/>
  <c r="EY315" i="1"/>
  <c r="EY314" i="1"/>
  <c r="EY313" i="1"/>
  <c r="FA309" i="1"/>
  <c r="FB309" i="1"/>
  <c r="FC309" i="1"/>
  <c r="FD309" i="1"/>
  <c r="FE309" i="1"/>
  <c r="FF309" i="1"/>
  <c r="FG309" i="1"/>
  <c r="FH309" i="1"/>
  <c r="FI309" i="1"/>
  <c r="FJ309" i="1"/>
  <c r="FK309" i="1"/>
  <c r="FL309" i="1"/>
  <c r="FM309" i="1"/>
  <c r="FA306" i="1"/>
  <c r="FB306" i="1"/>
  <c r="FC306" i="1"/>
  <c r="FD306" i="1"/>
  <c r="FE306" i="1"/>
  <c r="FF306" i="1"/>
  <c r="FG306" i="1"/>
  <c r="FH306" i="1"/>
  <c r="FI306" i="1"/>
  <c r="FJ306" i="1"/>
  <c r="FK306" i="1"/>
  <c r="FL306" i="1"/>
  <c r="FM306" i="1"/>
  <c r="EZ307" i="1"/>
  <c r="FA307" i="1"/>
  <c r="FB307" i="1"/>
  <c r="FC307" i="1"/>
  <c r="FD307" i="1"/>
  <c r="FE307" i="1"/>
  <c r="FF307" i="1"/>
  <c r="FG307" i="1"/>
  <c r="FH307" i="1"/>
  <c r="FI307" i="1"/>
  <c r="FJ307" i="1"/>
  <c r="FK307" i="1"/>
  <c r="FL307" i="1"/>
  <c r="FM307" i="1"/>
  <c r="EZ308" i="1"/>
  <c r="FA308" i="1"/>
  <c r="FB308" i="1"/>
  <c r="FC308" i="1"/>
  <c r="FD308" i="1"/>
  <c r="FE308" i="1"/>
  <c r="FF308" i="1"/>
  <c r="FG308" i="1"/>
  <c r="FH308" i="1"/>
  <c r="FI308" i="1"/>
  <c r="FJ308" i="1"/>
  <c r="FK308" i="1"/>
  <c r="FL308" i="1"/>
  <c r="FM308" i="1"/>
  <c r="EY309" i="1"/>
  <c r="EY308" i="1"/>
  <c r="EY307" i="1"/>
  <c r="EY306" i="1"/>
  <c r="CT157" i="1"/>
  <c r="CS157" i="1"/>
  <c r="CR157" i="1"/>
  <c r="CQ157" i="1"/>
  <c r="CP157" i="1"/>
  <c r="CT156" i="1"/>
  <c r="CS156" i="1"/>
  <c r="CR156" i="1"/>
  <c r="CQ156" i="1"/>
  <c r="CP156" i="1"/>
  <c r="CQ150" i="1"/>
  <c r="CR150" i="1"/>
  <c r="CS150" i="1"/>
  <c r="CT150" i="1"/>
  <c r="CP150" i="1"/>
  <c r="CQ149" i="1"/>
  <c r="CR149" i="1"/>
  <c r="CS149" i="1"/>
  <c r="CT149" i="1"/>
  <c r="CP149" i="1"/>
  <c r="CQ148" i="1"/>
  <c r="CR148" i="1"/>
  <c r="CS148" i="1"/>
  <c r="CT148" i="1"/>
  <c r="CP148" i="1"/>
  <c r="CQ147" i="1"/>
  <c r="CR147" i="1"/>
  <c r="CS147" i="1"/>
  <c r="CT147" i="1"/>
  <c r="CP147" i="1"/>
  <c r="AH96" i="1"/>
  <c r="AI96" i="1"/>
  <c r="AJ96" i="1"/>
  <c r="AK96" i="1"/>
  <c r="AL96" i="1"/>
  <c r="AM96" i="1"/>
  <c r="AN96" i="1"/>
  <c r="AO96" i="1"/>
  <c r="AP96" i="1"/>
  <c r="AQ96" i="1"/>
  <c r="AH97" i="1"/>
  <c r="AI97" i="1"/>
  <c r="AJ97" i="1"/>
  <c r="AK97" i="1"/>
  <c r="AL97" i="1"/>
  <c r="AM97" i="1"/>
  <c r="AN97" i="1"/>
  <c r="AO97" i="1"/>
  <c r="AP97" i="1"/>
  <c r="AQ97" i="1"/>
  <c r="AH98" i="1"/>
  <c r="AI98" i="1"/>
  <c r="AJ98" i="1"/>
  <c r="AK98" i="1"/>
  <c r="AL98" i="1"/>
  <c r="AM98" i="1"/>
  <c r="AN98" i="1"/>
  <c r="AO98" i="1"/>
  <c r="AP98" i="1"/>
  <c r="AQ98" i="1"/>
  <c r="AG98" i="1"/>
  <c r="AG97" i="1"/>
  <c r="AG96" i="1"/>
  <c r="CG268" i="2"/>
  <c r="CG264" i="2"/>
  <c r="CG262" i="2"/>
  <c r="CG257" i="2"/>
  <c r="AW217" i="2"/>
  <c r="T162" i="2"/>
  <c r="S162" i="2"/>
  <c r="S159" i="2"/>
  <c r="S158" i="2"/>
  <c r="S157" i="2"/>
  <c r="R159" i="2"/>
  <c r="R158" i="2"/>
  <c r="R157" i="2"/>
  <c r="Q159" i="2"/>
  <c r="Q158" i="2"/>
  <c r="Q157" i="2"/>
  <c r="S155" i="2"/>
  <c r="S154" i="2"/>
  <c r="S153" i="2"/>
  <c r="R155" i="2"/>
  <c r="Q155" i="2"/>
  <c r="R154" i="2"/>
  <c r="Q154" i="2"/>
  <c r="R153" i="2"/>
  <c r="Q153" i="2"/>
  <c r="E56" i="2"/>
  <c r="E52" i="2"/>
  <c r="E51" i="2"/>
  <c r="E50" i="2"/>
  <c r="E49" i="2"/>
  <c r="E46" i="2"/>
  <c r="E45" i="2"/>
  <c r="E44" i="2"/>
  <c r="E37" i="2"/>
  <c r="E36" i="2"/>
  <c r="E35" i="2"/>
  <c r="E34" i="2"/>
  <c r="E33" i="2"/>
  <c r="E32" i="2"/>
  <c r="E31" i="2"/>
  <c r="F52" i="2"/>
  <c r="F51" i="2"/>
  <c r="F50" i="2"/>
  <c r="F49" i="2"/>
  <c r="F46" i="2"/>
  <c r="F44" i="2"/>
  <c r="F37" i="2"/>
  <c r="F36" i="2"/>
  <c r="F34" i="2"/>
  <c r="F32" i="2"/>
  <c r="F31" i="2"/>
  <c r="E5" i="2"/>
  <c r="E6" i="2"/>
  <c r="E7" i="2"/>
  <c r="E8" i="2"/>
  <c r="E9" i="2"/>
  <c r="E10" i="2"/>
  <c r="E11" i="2"/>
  <c r="E12" i="2"/>
  <c r="E13" i="2"/>
  <c r="E4" i="2"/>
  <c r="E3" i="2"/>
  <c r="Z69" i="2" l="1"/>
  <c r="Y69" i="2"/>
  <c r="X69" i="2"/>
  <c r="W69" i="2"/>
  <c r="M101" i="2" s="1"/>
  <c r="V69" i="2"/>
  <c r="U69" i="2"/>
  <c r="K77" i="2" s="1"/>
  <c r="ED304" i="1"/>
  <c r="EC304" i="1"/>
  <c r="EB304" i="1"/>
  <c r="ED303" i="1"/>
  <c r="EC303" i="1"/>
  <c r="EB303" i="1"/>
  <c r="ED302" i="1"/>
  <c r="EC302" i="1"/>
  <c r="EB302" i="1"/>
  <c r="ED301" i="1"/>
  <c r="EC301" i="1"/>
  <c r="EB301" i="1"/>
  <c r="ED300" i="1"/>
  <c r="EC300" i="1"/>
  <c r="EB300" i="1"/>
  <c r="ED299" i="1"/>
  <c r="EC299" i="1"/>
  <c r="EB299" i="1"/>
  <c r="ED298" i="1"/>
  <c r="EC298" i="1"/>
  <c r="EB298" i="1"/>
  <c r="ED297" i="1"/>
  <c r="EC297" i="1"/>
  <c r="EB297" i="1"/>
  <c r="ED296" i="1"/>
  <c r="EC296" i="1"/>
  <c r="EB296" i="1"/>
  <c r="ED295" i="1"/>
  <c r="EC295" i="1"/>
  <c r="EB295" i="1"/>
  <c r="ED294" i="1"/>
  <c r="EC294" i="1"/>
  <c r="EB294" i="1"/>
  <c r="ED293" i="1"/>
  <c r="EC293" i="1"/>
  <c r="EB293" i="1"/>
  <c r="ED292" i="1"/>
  <c r="EC292" i="1"/>
  <c r="EB292" i="1"/>
  <c r="ED291" i="1"/>
  <c r="EC291" i="1"/>
  <c r="EB291" i="1"/>
  <c r="ED290" i="1"/>
  <c r="EC290" i="1"/>
  <c r="EB290" i="1"/>
  <c r="ED289" i="1"/>
  <c r="EC289" i="1"/>
  <c r="EB289" i="1"/>
  <c r="ED288" i="1"/>
  <c r="EC288" i="1"/>
  <c r="EB288" i="1"/>
  <c r="ED287" i="1"/>
  <c r="EC287" i="1"/>
  <c r="EB287" i="1"/>
  <c r="ED286" i="1"/>
  <c r="EC286" i="1"/>
  <c r="EB286" i="1"/>
  <c r="ED285" i="1"/>
  <c r="EC285" i="1"/>
  <c r="EB285" i="1"/>
  <c r="ED284" i="1"/>
  <c r="EC284" i="1"/>
  <c r="EB284" i="1"/>
  <c r="ED283" i="1"/>
  <c r="EC283" i="1"/>
  <c r="EB283" i="1"/>
  <c r="ED282" i="1"/>
  <c r="EC282" i="1"/>
  <c r="EB282" i="1"/>
  <c r="ED281" i="1"/>
  <c r="EC281" i="1"/>
  <c r="EB281" i="1"/>
  <c r="ED280" i="1"/>
  <c r="EC280" i="1"/>
  <c r="EB280" i="1"/>
  <c r="ED279" i="1"/>
  <c r="EC279" i="1"/>
  <c r="EB279" i="1"/>
  <c r="ED278" i="1"/>
  <c r="EC278" i="1"/>
  <c r="EB278" i="1"/>
  <c r="ED277" i="1"/>
  <c r="EC277" i="1"/>
  <c r="EB277" i="1"/>
  <c r="ED276" i="1"/>
  <c r="EC276" i="1"/>
  <c r="EB276" i="1"/>
  <c r="EX272" i="1"/>
  <c r="EX271" i="1"/>
  <c r="EW271" i="1"/>
  <c r="EX270" i="1"/>
  <c r="EW270" i="1"/>
  <c r="EX269" i="1"/>
  <c r="EW269" i="1"/>
  <c r="EX268" i="1"/>
  <c r="EX267" i="1"/>
  <c r="EX266" i="1"/>
  <c r="EX265" i="1"/>
  <c r="EW265" i="1"/>
  <c r="EX264" i="1"/>
  <c r="EW264" i="1"/>
  <c r="EX263" i="1"/>
  <c r="EW263" i="1"/>
  <c r="EX262" i="1"/>
  <c r="EX261" i="1"/>
  <c r="EX260" i="1"/>
  <c r="EX259" i="1"/>
  <c r="EX258" i="1"/>
  <c r="EW258" i="1"/>
  <c r="EX257" i="1"/>
  <c r="EW257" i="1"/>
  <c r="EX256" i="1"/>
  <c r="EX255" i="1"/>
  <c r="EX254" i="1"/>
  <c r="EX253" i="1"/>
  <c r="EW253" i="1"/>
  <c r="EX252" i="1"/>
  <c r="EX251" i="1"/>
  <c r="EW251" i="1"/>
  <c r="EX250" i="1"/>
  <c r="EX249" i="1"/>
  <c r="EX248" i="1"/>
  <c r="EW248" i="1"/>
  <c r="EX247" i="1"/>
  <c r="EX246" i="1"/>
  <c r="EX245" i="1"/>
  <c r="EX244" i="1"/>
  <c r="EW244" i="1"/>
  <c r="ED272" i="1"/>
  <c r="EC272" i="1"/>
  <c r="EB272" i="1"/>
  <c r="ED271" i="1"/>
  <c r="EC271" i="1"/>
  <c r="EB271" i="1"/>
  <c r="ED270" i="1"/>
  <c r="EC270" i="1"/>
  <c r="EB270" i="1"/>
  <c r="ED269" i="1"/>
  <c r="EC269" i="1"/>
  <c r="EB269" i="1"/>
  <c r="ED268" i="1"/>
  <c r="EC268" i="1"/>
  <c r="EB268" i="1"/>
  <c r="ED267" i="1"/>
  <c r="EC267" i="1"/>
  <c r="EB267" i="1"/>
  <c r="ED266" i="1"/>
  <c r="EC266" i="1"/>
  <c r="EB266" i="1"/>
  <c r="ED265" i="1"/>
  <c r="EC265" i="1"/>
  <c r="EB265" i="1"/>
  <c r="ED264" i="1"/>
  <c r="EC264" i="1"/>
  <c r="EB264" i="1"/>
  <c r="ED263" i="1"/>
  <c r="EC263" i="1"/>
  <c r="EB263" i="1"/>
  <c r="ED262" i="1"/>
  <c r="EC262" i="1"/>
  <c r="EB262" i="1"/>
  <c r="ED261" i="1"/>
  <c r="EC261" i="1"/>
  <c r="EB261" i="1"/>
  <c r="ED260" i="1"/>
  <c r="EC260" i="1"/>
  <c r="EB260" i="1"/>
  <c r="ED259" i="1"/>
  <c r="EC259" i="1"/>
  <c r="EB259" i="1"/>
  <c r="ED258" i="1"/>
  <c r="EC258" i="1"/>
  <c r="EB258" i="1"/>
  <c r="ED257" i="1"/>
  <c r="EC257" i="1"/>
  <c r="EB257" i="1"/>
  <c r="ED256" i="1"/>
  <c r="EC256" i="1"/>
  <c r="EB256" i="1"/>
  <c r="ED255" i="1"/>
  <c r="EC255" i="1"/>
  <c r="EB255" i="1"/>
  <c r="ED254" i="1"/>
  <c r="EC254" i="1"/>
  <c r="EB254" i="1"/>
  <c r="ED253" i="1"/>
  <c r="EC253" i="1"/>
  <c r="EB253" i="1"/>
  <c r="ED252" i="1"/>
  <c r="EC252" i="1"/>
  <c r="EB252" i="1"/>
  <c r="ED251" i="1"/>
  <c r="EC251" i="1"/>
  <c r="EB251" i="1"/>
  <c r="ED250" i="1"/>
  <c r="EC250" i="1"/>
  <c r="EB250" i="1"/>
  <c r="ED249" i="1"/>
  <c r="EC249" i="1"/>
  <c r="EB249" i="1"/>
  <c r="ED248" i="1"/>
  <c r="EC248" i="1"/>
  <c r="EB248" i="1"/>
  <c r="ED247" i="1"/>
  <c r="EC247" i="1"/>
  <c r="EB247" i="1"/>
  <c r="ED246" i="1"/>
  <c r="EC246" i="1"/>
  <c r="EB246" i="1"/>
  <c r="ED245" i="1"/>
  <c r="EC245" i="1"/>
  <c r="EB245" i="1"/>
  <c r="ED244" i="1"/>
  <c r="EC244" i="1"/>
  <c r="EB244" i="1"/>
  <c r="M56" i="1"/>
  <c r="M54" i="1"/>
  <c r="M52" i="1"/>
  <c r="W56" i="1"/>
  <c r="V56" i="1"/>
  <c r="U56" i="1"/>
  <c r="T56" i="1"/>
  <c r="S56" i="1"/>
  <c r="R56" i="1"/>
  <c r="Q56" i="1"/>
  <c r="W54" i="1"/>
  <c r="V54" i="1"/>
  <c r="U54" i="1"/>
  <c r="T54" i="1"/>
  <c r="S54" i="1"/>
  <c r="R54" i="1"/>
  <c r="Q54" i="1"/>
  <c r="W52" i="1"/>
  <c r="V52" i="1"/>
  <c r="U52" i="1"/>
  <c r="T52" i="1"/>
  <c r="S52" i="1"/>
  <c r="R52" i="1"/>
  <c r="Q52" i="1"/>
  <c r="W50" i="1"/>
  <c r="V50" i="1"/>
  <c r="U50" i="1"/>
  <c r="T50" i="1"/>
  <c r="S50" i="1"/>
  <c r="R50" i="1"/>
  <c r="DX239" i="1"/>
  <c r="DW239" i="1"/>
  <c r="DV239" i="1"/>
  <c r="DU239" i="1"/>
  <c r="DT239" i="1"/>
  <c r="DX237" i="1"/>
  <c r="DW237" i="1"/>
  <c r="DV237" i="1"/>
  <c r="DU237" i="1"/>
  <c r="DT237" i="1"/>
  <c r="DX236" i="1"/>
  <c r="DW236" i="1"/>
  <c r="DV236" i="1"/>
  <c r="DU236" i="1"/>
  <c r="DT236" i="1"/>
  <c r="DX235" i="1"/>
  <c r="DW235" i="1"/>
  <c r="DV235" i="1"/>
  <c r="DU235" i="1"/>
  <c r="DT235" i="1"/>
  <c r="DX234" i="1"/>
  <c r="DW234" i="1"/>
  <c r="DV234" i="1"/>
  <c r="DU234" i="1"/>
  <c r="DT234" i="1"/>
  <c r="DX233" i="1"/>
  <c r="DW233" i="1"/>
  <c r="DV233" i="1"/>
  <c r="DU233" i="1"/>
  <c r="DT233" i="1"/>
  <c r="DX232" i="1"/>
  <c r="DW232" i="1"/>
  <c r="DV232" i="1"/>
  <c r="DU232" i="1"/>
  <c r="DT232" i="1"/>
  <c r="DY228" i="1"/>
  <c r="DX228" i="1"/>
  <c r="DW228" i="1"/>
  <c r="DV228" i="1"/>
  <c r="DU228" i="1"/>
  <c r="DT228" i="1"/>
  <c r="DY226" i="1"/>
  <c r="DX226" i="1"/>
  <c r="DW226" i="1"/>
  <c r="DV226" i="1"/>
  <c r="DU226" i="1"/>
  <c r="DT226" i="1"/>
  <c r="DY225" i="1"/>
  <c r="DX225" i="1"/>
  <c r="DW225" i="1"/>
  <c r="DV225" i="1"/>
  <c r="DU225" i="1"/>
  <c r="DT225" i="1"/>
  <c r="DY224" i="1"/>
  <c r="DX224" i="1"/>
  <c r="DW224" i="1"/>
  <c r="DV224" i="1"/>
  <c r="DU224" i="1"/>
  <c r="DT224" i="1"/>
  <c r="DY223" i="1"/>
  <c r="DX223" i="1"/>
  <c r="DW223" i="1"/>
  <c r="DV223" i="1"/>
  <c r="DU223" i="1"/>
  <c r="DT223" i="1"/>
  <c r="DY222" i="1"/>
  <c r="DX222" i="1"/>
  <c r="DW222" i="1"/>
  <c r="DV222" i="1"/>
  <c r="DU222" i="1"/>
  <c r="DT222" i="1"/>
  <c r="DY221" i="1"/>
  <c r="DX221" i="1"/>
  <c r="DW221" i="1"/>
  <c r="DV221" i="1"/>
  <c r="DU221" i="1"/>
  <c r="DT221" i="1"/>
  <c r="M69" i="2" l="1"/>
  <c r="K140" i="2"/>
  <c r="M90" i="2"/>
  <c r="L142" i="2"/>
  <c r="L72" i="2"/>
  <c r="K119" i="2"/>
  <c r="M142" i="2"/>
  <c r="K84" i="2"/>
  <c r="L119" i="2"/>
  <c r="K93" i="2"/>
  <c r="M118" i="2"/>
  <c r="K103" i="2"/>
  <c r="K142" i="2"/>
  <c r="L90" i="2"/>
  <c r="L149" i="2"/>
  <c r="K60" i="2"/>
  <c r="L101" i="2"/>
  <c r="M145" i="2"/>
  <c r="K61" i="2"/>
  <c r="K79" i="2"/>
  <c r="L73" i="2"/>
  <c r="M70" i="2"/>
  <c r="K85" i="2"/>
  <c r="K94" i="2"/>
  <c r="K104" i="2"/>
  <c r="L92" i="2"/>
  <c r="L102" i="2"/>
  <c r="M92" i="2"/>
  <c r="M102" i="2"/>
  <c r="K121" i="2"/>
  <c r="L121" i="2"/>
  <c r="M119" i="2"/>
  <c r="L113" i="2"/>
  <c r="K145" i="2"/>
  <c r="L132" i="2"/>
  <c r="M149" i="2"/>
  <c r="K64" i="2"/>
  <c r="L60" i="2"/>
  <c r="L77" i="2"/>
  <c r="M72" i="2"/>
  <c r="K86" i="2"/>
  <c r="K95" i="2"/>
  <c r="K105" i="2"/>
  <c r="L93" i="2"/>
  <c r="L103" i="2"/>
  <c r="M93" i="2"/>
  <c r="M103" i="2"/>
  <c r="K122" i="2"/>
  <c r="L122" i="2"/>
  <c r="M121" i="2"/>
  <c r="K128" i="2"/>
  <c r="L128" i="2"/>
  <c r="M132" i="2"/>
  <c r="K68" i="2"/>
  <c r="L61" i="2"/>
  <c r="L79" i="2"/>
  <c r="M73" i="2"/>
  <c r="K87" i="2"/>
  <c r="K97" i="2"/>
  <c r="L84" i="2"/>
  <c r="L94" i="2"/>
  <c r="L104" i="2"/>
  <c r="M94" i="2"/>
  <c r="M104" i="2"/>
  <c r="K109" i="2"/>
  <c r="K126" i="2"/>
  <c r="L126" i="2"/>
  <c r="M122" i="2"/>
  <c r="K132" i="2"/>
  <c r="L133" i="2"/>
  <c r="M133" i="2"/>
  <c r="K69" i="2"/>
  <c r="L64" i="2"/>
  <c r="L80" i="2"/>
  <c r="M77" i="2"/>
  <c r="K89" i="2"/>
  <c r="K98" i="2"/>
  <c r="L85" i="2"/>
  <c r="L95" i="2"/>
  <c r="M84" i="2"/>
  <c r="M95" i="2"/>
  <c r="M105" i="2"/>
  <c r="K110" i="2"/>
  <c r="K127" i="2"/>
  <c r="L127" i="2"/>
  <c r="M126" i="2"/>
  <c r="K133" i="2"/>
  <c r="L136" i="2"/>
  <c r="M136" i="2"/>
  <c r="K70" i="2"/>
  <c r="L68" i="2"/>
  <c r="M60" i="2"/>
  <c r="M79" i="2"/>
  <c r="K90" i="2"/>
  <c r="K99" i="2"/>
  <c r="L86" i="2"/>
  <c r="L97" i="2"/>
  <c r="M85" i="2"/>
  <c r="M97" i="2"/>
  <c r="K113" i="2"/>
  <c r="L105" i="2"/>
  <c r="M109" i="2"/>
  <c r="M127" i="2"/>
  <c r="K136" i="2"/>
  <c r="L141" i="2"/>
  <c r="M140" i="2"/>
  <c r="K72" i="2"/>
  <c r="L69" i="2"/>
  <c r="M61" i="2"/>
  <c r="M80" i="2"/>
  <c r="K91" i="2"/>
  <c r="K101" i="2"/>
  <c r="L87" i="2"/>
  <c r="L98" i="2"/>
  <c r="M86" i="2"/>
  <c r="M98" i="2"/>
  <c r="K117" i="2"/>
  <c r="L109" i="2"/>
  <c r="M110" i="2"/>
  <c r="M128" i="2"/>
  <c r="M141" i="2"/>
  <c r="K73" i="2"/>
  <c r="L70" i="2"/>
  <c r="M64" i="2"/>
  <c r="K80" i="2"/>
  <c r="K92" i="2"/>
  <c r="K102" i="2"/>
  <c r="L89" i="2"/>
  <c r="L99" i="2"/>
  <c r="M89" i="2"/>
  <c r="M99" i="2"/>
  <c r="K118" i="2"/>
  <c r="L110" i="2"/>
  <c r="M113" i="2"/>
  <c r="K141" i="2"/>
  <c r="L145" i="2"/>
  <c r="S49" i="1"/>
  <c r="T49" i="1" s="1"/>
  <c r="U49" i="1" s="1"/>
  <c r="V49" i="1" s="1"/>
  <c r="W49" i="1" s="1"/>
  <c r="M51" i="1" s="1"/>
  <c r="Q51" i="1" s="1"/>
  <c r="EZ305" i="1" l="1"/>
  <c r="FA305" i="1" s="1"/>
  <c r="FB305" i="1" s="1"/>
  <c r="FC305" i="1" s="1"/>
  <c r="FD305" i="1" s="1"/>
  <c r="FE305" i="1" s="1"/>
  <c r="FF305" i="1" s="1"/>
  <c r="FG305" i="1" s="1"/>
  <c r="FH305" i="1" s="1"/>
  <c r="FI305" i="1" s="1"/>
  <c r="FJ305" i="1" s="1"/>
  <c r="FK305" i="1" s="1"/>
  <c r="FL305" i="1" s="1"/>
  <c r="FM305" i="1" s="1"/>
  <c r="EY312" i="1" s="1"/>
  <c r="EZ312" i="1" s="1"/>
  <c r="FA312" i="1" s="1"/>
  <c r="FB312" i="1" s="1"/>
  <c r="FC312" i="1" s="1"/>
  <c r="FD312" i="1" s="1"/>
  <c r="FE312" i="1" s="1"/>
  <c r="FF312" i="1" s="1"/>
  <c r="FG312" i="1" s="1"/>
  <c r="FH312" i="1" s="1"/>
  <c r="FI312" i="1" s="1"/>
  <c r="FJ312" i="1" s="1"/>
  <c r="FK312" i="1" s="1"/>
  <c r="FL312" i="1" s="1"/>
  <c r="FM312" i="1" s="1"/>
  <c r="EA276" i="1"/>
  <c r="EA245" i="1"/>
  <c r="EA246" i="1" s="1"/>
  <c r="EA247" i="1" s="1"/>
  <c r="EA279" i="1" l="1"/>
  <c r="EA248" i="1"/>
  <c r="EA278" i="1"/>
  <c r="EA277" i="1"/>
  <c r="B7" i="1"/>
  <c r="E6" i="1"/>
  <c r="EA249" i="1" l="1"/>
  <c r="EA280" i="1"/>
  <c r="EA250" i="1" l="1"/>
  <c r="EA281" i="1"/>
  <c r="EA251" i="1" l="1"/>
  <c r="EA282" i="1"/>
  <c r="DH187" i="1"/>
  <c r="DL187" i="1"/>
  <c r="DL188" i="1"/>
  <c r="DH188" i="1" s="1"/>
  <c r="DK187" i="1"/>
  <c r="DK194" i="1"/>
  <c r="DL194" i="1" s="1"/>
  <c r="DH194" i="1" s="1"/>
  <c r="DK195" i="1"/>
  <c r="DK189" i="1"/>
  <c r="DK190" i="1"/>
  <c r="DK191" i="1"/>
  <c r="DK193" i="1"/>
  <c r="DK188" i="1"/>
  <c r="DK162" i="1"/>
  <c r="DK196" i="1"/>
  <c r="DC182" i="1"/>
  <c r="DD182" i="1"/>
  <c r="DE182" i="1"/>
  <c r="DK200" i="1"/>
  <c r="DK197" i="1"/>
  <c r="DL197" i="1" s="1"/>
  <c r="DL199" i="1"/>
  <c r="DI199" i="1" s="1"/>
  <c r="DK199" i="1"/>
  <c r="DK198" i="1"/>
  <c r="DL198" i="1" s="1"/>
  <c r="DK202" i="1"/>
  <c r="DL203" i="1"/>
  <c r="DI203" i="1" s="1"/>
  <c r="DK203" i="1"/>
  <c r="DJ206" i="1"/>
  <c r="DL206" i="1"/>
  <c r="DI206" i="1" s="1"/>
  <c r="DK206" i="1"/>
  <c r="DL204" i="1"/>
  <c r="DI204" i="1" s="1"/>
  <c r="DK204" i="1"/>
  <c r="DK205" i="1"/>
  <c r="DL205" i="1" s="1"/>
  <c r="DK201" i="1"/>
  <c r="DL201" i="1" s="1"/>
  <c r="DI198" i="1" l="1"/>
  <c r="DH198" i="1"/>
  <c r="DH205" i="1"/>
  <c r="DI205" i="1"/>
  <c r="DJ205" i="1"/>
  <c r="DJ197" i="1"/>
  <c r="DH197" i="1"/>
  <c r="DI197" i="1"/>
  <c r="DH206" i="1"/>
  <c r="DH199" i="1"/>
  <c r="DJ203" i="1"/>
  <c r="DH204" i="1"/>
  <c r="DJ204" i="1"/>
  <c r="DH203" i="1"/>
  <c r="EA252" i="1"/>
  <c r="EA283" i="1"/>
  <c r="DJ201" i="1"/>
  <c r="DI201" i="1"/>
  <c r="DH201" i="1"/>
  <c r="EA253" i="1" l="1"/>
  <c r="EA284" i="1"/>
  <c r="DK216" i="1"/>
  <c r="DL216" i="1" s="1"/>
  <c r="DJ218" i="1"/>
  <c r="DL218" i="1"/>
  <c r="DI218" i="1" s="1"/>
  <c r="DK218" i="1"/>
  <c r="DL214" i="1"/>
  <c r="DJ214" i="1" s="1"/>
  <c r="DK214" i="1"/>
  <c r="DL217" i="1"/>
  <c r="DJ217" i="1" s="1"/>
  <c r="DK217" i="1"/>
  <c r="DJ216" i="1" l="1"/>
  <c r="DH216" i="1"/>
  <c r="DI216" i="1"/>
  <c r="DI214" i="1"/>
  <c r="DH217" i="1"/>
  <c r="DH218" i="1"/>
  <c r="DH214" i="1"/>
  <c r="DI217" i="1"/>
  <c r="EA254" i="1"/>
  <c r="EA285" i="1"/>
  <c r="DK211" i="1"/>
  <c r="DJ207" i="1"/>
  <c r="DI207" i="1"/>
  <c r="DH207" i="1"/>
  <c r="DL207" i="1"/>
  <c r="DK207" i="1"/>
  <c r="DK186" i="1"/>
  <c r="DK185" i="1" s="1"/>
  <c r="DL185" i="1" s="1"/>
  <c r="DI185" i="1" l="1"/>
  <c r="DH185" i="1"/>
  <c r="DL186" i="1"/>
  <c r="DH186" i="1" s="1"/>
  <c r="EA255" i="1"/>
  <c r="EA286" i="1"/>
  <c r="DD161" i="1"/>
  <c r="DF160" i="1"/>
  <c r="EA256" i="1" l="1"/>
  <c r="EA287" i="1"/>
  <c r="DK184" i="1"/>
  <c r="DK183" i="1"/>
  <c r="DL183" i="1" s="1"/>
  <c r="DK182" i="1"/>
  <c r="DK181" i="1"/>
  <c r="DL179" i="1"/>
  <c r="DK179" i="1"/>
  <c r="DK178" i="1"/>
  <c r="DL178" i="1" s="1"/>
  <c r="DK176" i="1"/>
  <c r="DL176" i="1"/>
  <c r="DL177" i="1"/>
  <c r="DK177" i="1"/>
  <c r="DK175" i="1"/>
  <c r="DL175" i="1" s="1"/>
  <c r="DJ179" i="1" l="1"/>
  <c r="DH179" i="1"/>
  <c r="DI179" i="1"/>
  <c r="DJ175" i="1"/>
  <c r="DH175" i="1"/>
  <c r="DI175" i="1"/>
  <c r="DI177" i="1"/>
  <c r="DH177" i="1"/>
  <c r="DJ177" i="1"/>
  <c r="DJ183" i="1"/>
  <c r="DH183" i="1"/>
  <c r="DI183" i="1"/>
  <c r="DI176" i="1"/>
  <c r="DH176" i="1"/>
  <c r="DJ176" i="1"/>
  <c r="DJ178" i="1"/>
  <c r="DI178" i="1"/>
  <c r="DH178" i="1"/>
  <c r="EA257" i="1"/>
  <c r="EA288" i="1"/>
  <c r="DF218" i="1"/>
  <c r="DK165" i="1"/>
  <c r="DK167" i="1"/>
  <c r="DH153" i="1"/>
  <c r="DK164" i="1"/>
  <c r="DK160" i="1"/>
  <c r="DK169" i="1"/>
  <c r="DC160" i="1"/>
  <c r="DD160" i="1"/>
  <c r="DE160" i="1"/>
  <c r="DE161" i="1"/>
  <c r="EA258" i="1" l="1"/>
  <c r="EA289" i="1"/>
  <c r="DK170" i="1"/>
  <c r="DK171" i="1"/>
  <c r="AX217" i="2"/>
  <c r="EA259" i="1" l="1"/>
  <c r="EA290" i="1"/>
  <c r="EA260" i="1" l="1"/>
  <c r="EA291" i="1"/>
  <c r="GB343" i="1"/>
  <c r="GD343" i="1" s="1"/>
  <c r="GB342" i="1"/>
  <c r="GD342" i="1" s="1"/>
  <c r="GB340" i="1"/>
  <c r="GD340" i="1" s="1"/>
  <c r="GB339" i="1"/>
  <c r="GD339" i="1" s="1"/>
  <c r="GB341" i="1"/>
  <c r="GD341" i="1" s="1"/>
  <c r="EA261" i="1" l="1"/>
  <c r="EA292" i="1"/>
  <c r="EA262" i="1" l="1"/>
  <c r="EA293" i="1"/>
  <c r="BJ161" i="1"/>
  <c r="EA263" i="1" l="1"/>
  <c r="EA294" i="1"/>
  <c r="D22" i="1"/>
  <c r="C22" i="1"/>
  <c r="F22" i="1" s="1"/>
  <c r="B22" i="1"/>
  <c r="B21" i="1"/>
  <c r="E22" i="1"/>
  <c r="E21" i="1"/>
  <c r="G21" i="1" s="1"/>
  <c r="D16" i="1"/>
  <c r="C16" i="1"/>
  <c r="F16" i="1" s="1"/>
  <c r="B16" i="1"/>
  <c r="B15" i="1"/>
  <c r="E16" i="1"/>
  <c r="E15" i="1"/>
  <c r="F15" i="1" s="1"/>
  <c r="D8" i="1"/>
  <c r="C8" i="1"/>
  <c r="F8" i="1" s="1"/>
  <c r="B8" i="1"/>
  <c r="B27" i="1" s="1"/>
  <c r="D7" i="1"/>
  <c r="B6" i="1"/>
  <c r="E8" i="1"/>
  <c r="E7" i="1"/>
  <c r="G7" i="1" s="1"/>
  <c r="G6" i="1"/>
  <c r="EA264" i="1" l="1"/>
  <c r="EA295" i="1"/>
  <c r="G16" i="1"/>
  <c r="EH276" i="1"/>
  <c r="G8" i="1"/>
  <c r="EE276" i="1" s="1"/>
  <c r="G22" i="1"/>
  <c r="EQ276" i="1"/>
  <c r="EK276" i="1"/>
  <c r="C21" i="1"/>
  <c r="C7" i="1"/>
  <c r="F7" i="1"/>
  <c r="D21" i="1"/>
  <c r="ET276" i="1" s="1"/>
  <c r="G15" i="1"/>
  <c r="F21" i="1"/>
  <c r="C6" i="1"/>
  <c r="D6" i="1"/>
  <c r="EN276" i="1" s="1"/>
  <c r="F6" i="1"/>
  <c r="C15" i="1"/>
  <c r="D15" i="1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303" i="2"/>
  <c r="AT304" i="2"/>
  <c r="AT280" i="2"/>
  <c r="AT277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52" i="2"/>
  <c r="AT250" i="2"/>
  <c r="AT251" i="2"/>
  <c r="AT249" i="2"/>
  <c r="AT310" i="2"/>
  <c r="AT309" i="2"/>
  <c r="AT308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26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197" i="2"/>
  <c r="EE249" i="1" l="1"/>
  <c r="EF249" i="1" s="1"/>
  <c r="EE257" i="1"/>
  <c r="EF257" i="1" s="1"/>
  <c r="EE265" i="1"/>
  <c r="EF265" i="1" s="1"/>
  <c r="EE244" i="1"/>
  <c r="EF244" i="1" s="1"/>
  <c r="EE285" i="1"/>
  <c r="EF285" i="1" s="1"/>
  <c r="EE293" i="1"/>
  <c r="EF293" i="1" s="1"/>
  <c r="EE301" i="1"/>
  <c r="EF301" i="1" s="1"/>
  <c r="EE253" i="1"/>
  <c r="EF253" i="1" s="1"/>
  <c r="EE250" i="1"/>
  <c r="EF250" i="1" s="1"/>
  <c r="EE258" i="1"/>
  <c r="EF258" i="1" s="1"/>
  <c r="EE266" i="1"/>
  <c r="EF266" i="1" s="1"/>
  <c r="EE278" i="1"/>
  <c r="EF278" i="1" s="1"/>
  <c r="EE286" i="1"/>
  <c r="EF286" i="1" s="1"/>
  <c r="EE294" i="1"/>
  <c r="EF294" i="1" s="1"/>
  <c r="EE302" i="1"/>
  <c r="EF302" i="1" s="1"/>
  <c r="EE261" i="1"/>
  <c r="EF261" i="1" s="1"/>
  <c r="EE251" i="1"/>
  <c r="EF251" i="1" s="1"/>
  <c r="EE259" i="1"/>
  <c r="EF259" i="1" s="1"/>
  <c r="EE267" i="1"/>
  <c r="EF267" i="1" s="1"/>
  <c r="EE279" i="1"/>
  <c r="EF279" i="1" s="1"/>
  <c r="EE287" i="1"/>
  <c r="EF287" i="1" s="1"/>
  <c r="EE295" i="1"/>
  <c r="EF295" i="1" s="1"/>
  <c r="EE303" i="1"/>
  <c r="EF303" i="1" s="1"/>
  <c r="EE252" i="1"/>
  <c r="EF252" i="1" s="1"/>
  <c r="EE260" i="1"/>
  <c r="EF260" i="1" s="1"/>
  <c r="EE268" i="1"/>
  <c r="EF268" i="1" s="1"/>
  <c r="EE280" i="1"/>
  <c r="EF280" i="1" s="1"/>
  <c r="EE288" i="1"/>
  <c r="EF288" i="1" s="1"/>
  <c r="EE296" i="1"/>
  <c r="EF296" i="1" s="1"/>
  <c r="EE304" i="1"/>
  <c r="EF304" i="1" s="1"/>
  <c r="EE245" i="1"/>
  <c r="EF245" i="1" s="1"/>
  <c r="EE269" i="1"/>
  <c r="EF269" i="1" s="1"/>
  <c r="EE246" i="1"/>
  <c r="EF246" i="1" s="1"/>
  <c r="EE254" i="1"/>
  <c r="EF254" i="1" s="1"/>
  <c r="EE262" i="1"/>
  <c r="EF262" i="1" s="1"/>
  <c r="EE270" i="1"/>
  <c r="EF270" i="1" s="1"/>
  <c r="EE247" i="1"/>
  <c r="EF247" i="1" s="1"/>
  <c r="EE255" i="1"/>
  <c r="EF255" i="1" s="1"/>
  <c r="EE263" i="1"/>
  <c r="EF263" i="1" s="1"/>
  <c r="EE271" i="1"/>
  <c r="EF271" i="1" s="1"/>
  <c r="EE283" i="1"/>
  <c r="EF283" i="1" s="1"/>
  <c r="EE291" i="1"/>
  <c r="EF291" i="1" s="1"/>
  <c r="EE299" i="1"/>
  <c r="EF299" i="1" s="1"/>
  <c r="EE290" i="1"/>
  <c r="EF290" i="1" s="1"/>
  <c r="EE248" i="1"/>
  <c r="EF248" i="1" s="1"/>
  <c r="EE292" i="1"/>
  <c r="EF292" i="1" s="1"/>
  <c r="EE297" i="1"/>
  <c r="EF297" i="1" s="1"/>
  <c r="EE256" i="1"/>
  <c r="EF256" i="1" s="1"/>
  <c r="EE281" i="1"/>
  <c r="EF281" i="1" s="1"/>
  <c r="EE264" i="1"/>
  <c r="EF264" i="1" s="1"/>
  <c r="EE282" i="1"/>
  <c r="EF282" i="1" s="1"/>
  <c r="EE277" i="1"/>
  <c r="EF277" i="1" s="1"/>
  <c r="EE272" i="1"/>
  <c r="EF272" i="1" s="1"/>
  <c r="EE284" i="1"/>
  <c r="EF284" i="1" s="1"/>
  <c r="EE289" i="1"/>
  <c r="EF289" i="1" s="1"/>
  <c r="EE298" i="1"/>
  <c r="EF298" i="1" s="1"/>
  <c r="EE300" i="1"/>
  <c r="EF300" i="1" s="1"/>
  <c r="EF276" i="1"/>
  <c r="EG276" i="1" s="1"/>
  <c r="EA265" i="1"/>
  <c r="EA296" i="1"/>
  <c r="EQ245" i="1"/>
  <c r="EQ253" i="1"/>
  <c r="EQ261" i="1"/>
  <c r="EQ269" i="1"/>
  <c r="EQ281" i="1"/>
  <c r="EQ289" i="1"/>
  <c r="EQ297" i="1"/>
  <c r="EQ277" i="1"/>
  <c r="EQ244" i="1"/>
  <c r="EQ301" i="1"/>
  <c r="EQ246" i="1"/>
  <c r="EQ254" i="1"/>
  <c r="EQ262" i="1"/>
  <c r="EQ270" i="1"/>
  <c r="EQ282" i="1"/>
  <c r="EQ290" i="1"/>
  <c r="EQ298" i="1"/>
  <c r="EQ257" i="1"/>
  <c r="EQ247" i="1"/>
  <c r="EQ255" i="1"/>
  <c r="EQ263" i="1"/>
  <c r="EQ271" i="1"/>
  <c r="EQ283" i="1"/>
  <c r="EQ291" i="1"/>
  <c r="EQ299" i="1"/>
  <c r="EQ265" i="1"/>
  <c r="EQ293" i="1"/>
  <c r="EQ248" i="1"/>
  <c r="EQ256" i="1"/>
  <c r="EQ264" i="1"/>
  <c r="EQ272" i="1"/>
  <c r="EQ284" i="1"/>
  <c r="EQ292" i="1"/>
  <c r="EQ300" i="1"/>
  <c r="EQ249" i="1"/>
  <c r="EQ285" i="1"/>
  <c r="EQ250" i="1"/>
  <c r="EQ258" i="1"/>
  <c r="EQ266" i="1"/>
  <c r="EQ278" i="1"/>
  <c r="EQ286" i="1"/>
  <c r="EQ294" i="1"/>
  <c r="EQ302" i="1"/>
  <c r="EQ251" i="1"/>
  <c r="EQ259" i="1"/>
  <c r="EQ267" i="1"/>
  <c r="EQ279" i="1"/>
  <c r="EQ287" i="1"/>
  <c r="EQ295" i="1"/>
  <c r="EQ303" i="1"/>
  <c r="EQ252" i="1"/>
  <c r="EQ260" i="1"/>
  <c r="EQ268" i="1"/>
  <c r="EQ288" i="1"/>
  <c r="EQ296" i="1"/>
  <c r="EQ304" i="1"/>
  <c r="EQ280" i="1"/>
  <c r="ER276" i="1"/>
  <c r="EK251" i="1"/>
  <c r="EL251" i="1" s="1"/>
  <c r="EK259" i="1"/>
  <c r="EL259" i="1" s="1"/>
  <c r="EK267" i="1"/>
  <c r="EL267" i="1" s="1"/>
  <c r="EK279" i="1"/>
  <c r="EL279" i="1" s="1"/>
  <c r="EK287" i="1"/>
  <c r="EL287" i="1" s="1"/>
  <c r="EK295" i="1"/>
  <c r="EL295" i="1" s="1"/>
  <c r="EK303" i="1"/>
  <c r="EL303" i="1" s="1"/>
  <c r="EK247" i="1"/>
  <c r="EL247" i="1" s="1"/>
  <c r="EK291" i="1"/>
  <c r="EL291" i="1" s="1"/>
  <c r="EK252" i="1"/>
  <c r="EL252" i="1" s="1"/>
  <c r="EK260" i="1"/>
  <c r="EL260" i="1" s="1"/>
  <c r="EK268" i="1"/>
  <c r="EL268" i="1" s="1"/>
  <c r="EK280" i="1"/>
  <c r="EL280" i="1" s="1"/>
  <c r="EK288" i="1"/>
  <c r="EL288" i="1" s="1"/>
  <c r="EK296" i="1"/>
  <c r="EL296" i="1" s="1"/>
  <c r="EK304" i="1"/>
  <c r="EL304" i="1" s="1"/>
  <c r="EK263" i="1"/>
  <c r="EL263" i="1" s="1"/>
  <c r="EK245" i="1"/>
  <c r="EL245" i="1" s="1"/>
  <c r="EK253" i="1"/>
  <c r="EL253" i="1" s="1"/>
  <c r="EK261" i="1"/>
  <c r="EL261" i="1" s="1"/>
  <c r="EK269" i="1"/>
  <c r="EL269" i="1" s="1"/>
  <c r="EK281" i="1"/>
  <c r="EL281" i="1" s="1"/>
  <c r="EK289" i="1"/>
  <c r="EL289" i="1" s="1"/>
  <c r="EK297" i="1"/>
  <c r="EL297" i="1" s="1"/>
  <c r="EK277" i="1"/>
  <c r="EL277" i="1" s="1"/>
  <c r="EK255" i="1"/>
  <c r="EL255" i="1" s="1"/>
  <c r="EK246" i="1"/>
  <c r="EL246" i="1" s="1"/>
  <c r="EK254" i="1"/>
  <c r="EL254" i="1" s="1"/>
  <c r="EK262" i="1"/>
  <c r="EL262" i="1" s="1"/>
  <c r="EK270" i="1"/>
  <c r="EL270" i="1" s="1"/>
  <c r="EK282" i="1"/>
  <c r="EL282" i="1" s="1"/>
  <c r="EK290" i="1"/>
  <c r="EL290" i="1" s="1"/>
  <c r="EK298" i="1"/>
  <c r="EL298" i="1" s="1"/>
  <c r="EK271" i="1"/>
  <c r="EL271" i="1" s="1"/>
  <c r="EK283" i="1"/>
  <c r="EL283" i="1" s="1"/>
  <c r="EK248" i="1"/>
  <c r="EL248" i="1" s="1"/>
  <c r="EK256" i="1"/>
  <c r="EL256" i="1" s="1"/>
  <c r="EK264" i="1"/>
  <c r="EL264" i="1" s="1"/>
  <c r="EK272" i="1"/>
  <c r="EL272" i="1" s="1"/>
  <c r="EK249" i="1"/>
  <c r="EL249" i="1" s="1"/>
  <c r="EK257" i="1"/>
  <c r="EL257" i="1" s="1"/>
  <c r="EK265" i="1"/>
  <c r="EL265" i="1" s="1"/>
  <c r="EK244" i="1"/>
  <c r="EL244" i="1" s="1"/>
  <c r="EK285" i="1"/>
  <c r="EL285" i="1" s="1"/>
  <c r="EK293" i="1"/>
  <c r="EL293" i="1" s="1"/>
  <c r="EK301" i="1"/>
  <c r="EL301" i="1" s="1"/>
  <c r="EK278" i="1"/>
  <c r="EL278" i="1" s="1"/>
  <c r="EK284" i="1"/>
  <c r="EL284" i="1" s="1"/>
  <c r="EK286" i="1"/>
  <c r="EL286" i="1" s="1"/>
  <c r="EK250" i="1"/>
  <c r="EL250" i="1" s="1"/>
  <c r="EK258" i="1"/>
  <c r="EL258" i="1" s="1"/>
  <c r="EK292" i="1"/>
  <c r="EL292" i="1" s="1"/>
  <c r="EK266" i="1"/>
  <c r="EL266" i="1" s="1"/>
  <c r="EK294" i="1"/>
  <c r="EL294" i="1" s="1"/>
  <c r="EK299" i="1"/>
  <c r="EL299" i="1" s="1"/>
  <c r="EK300" i="1"/>
  <c r="EL300" i="1" s="1"/>
  <c r="EK302" i="1"/>
  <c r="EL302" i="1" s="1"/>
  <c r="EL276" i="1"/>
  <c r="ET250" i="1"/>
  <c r="ET258" i="1"/>
  <c r="ET266" i="1"/>
  <c r="ET278" i="1"/>
  <c r="ET286" i="1"/>
  <c r="ET294" i="1"/>
  <c r="ET302" i="1"/>
  <c r="ET270" i="1"/>
  <c r="ET298" i="1"/>
  <c r="ET251" i="1"/>
  <c r="ET259" i="1"/>
  <c r="ET267" i="1"/>
  <c r="ET279" i="1"/>
  <c r="ET287" i="1"/>
  <c r="ET295" i="1"/>
  <c r="ET303" i="1"/>
  <c r="ET246" i="1"/>
  <c r="ET262" i="1"/>
  <c r="ET252" i="1"/>
  <c r="ET260" i="1"/>
  <c r="ET268" i="1"/>
  <c r="ET280" i="1"/>
  <c r="ET288" i="1"/>
  <c r="ET296" i="1"/>
  <c r="ET304" i="1"/>
  <c r="ET254" i="1"/>
  <c r="ET282" i="1"/>
  <c r="ET245" i="1"/>
  <c r="ET253" i="1"/>
  <c r="ET261" i="1"/>
  <c r="ET269" i="1"/>
  <c r="ET281" i="1"/>
  <c r="ET289" i="1"/>
  <c r="ET297" i="1"/>
  <c r="ET277" i="1"/>
  <c r="ET290" i="1"/>
  <c r="ET247" i="1"/>
  <c r="ET255" i="1"/>
  <c r="ET263" i="1"/>
  <c r="ET271" i="1"/>
  <c r="ET283" i="1"/>
  <c r="ET291" i="1"/>
  <c r="ET299" i="1"/>
  <c r="ET248" i="1"/>
  <c r="ET256" i="1"/>
  <c r="ET264" i="1"/>
  <c r="ET272" i="1"/>
  <c r="ET284" i="1"/>
  <c r="ET292" i="1"/>
  <c r="ET300" i="1"/>
  <c r="ET249" i="1"/>
  <c r="ET257" i="1"/>
  <c r="ET265" i="1"/>
  <c r="ET244" i="1"/>
  <c r="ET293" i="1"/>
  <c r="ET301" i="1"/>
  <c r="ET285" i="1"/>
  <c r="EH246" i="1"/>
  <c r="EI246" i="1" s="1"/>
  <c r="EH254" i="1"/>
  <c r="EI254" i="1" s="1"/>
  <c r="EH262" i="1"/>
  <c r="EI262" i="1" s="1"/>
  <c r="EH270" i="1"/>
  <c r="EI270" i="1" s="1"/>
  <c r="EH282" i="1"/>
  <c r="EI282" i="1" s="1"/>
  <c r="EH290" i="1"/>
  <c r="EI290" i="1" s="1"/>
  <c r="EH298" i="1"/>
  <c r="EI298" i="1" s="1"/>
  <c r="EH250" i="1"/>
  <c r="EI250" i="1" s="1"/>
  <c r="EH247" i="1"/>
  <c r="EI247" i="1" s="1"/>
  <c r="EH255" i="1"/>
  <c r="EI255" i="1" s="1"/>
  <c r="EH263" i="1"/>
  <c r="EI263" i="1" s="1"/>
  <c r="EH271" i="1"/>
  <c r="EI271" i="1" s="1"/>
  <c r="EH283" i="1"/>
  <c r="EI283" i="1" s="1"/>
  <c r="EH291" i="1"/>
  <c r="EI291" i="1" s="1"/>
  <c r="EH299" i="1"/>
  <c r="EI299" i="1" s="1"/>
  <c r="EH258" i="1"/>
  <c r="EI258" i="1" s="1"/>
  <c r="EH248" i="1"/>
  <c r="EI248" i="1" s="1"/>
  <c r="EH256" i="1"/>
  <c r="EI256" i="1" s="1"/>
  <c r="EH264" i="1"/>
  <c r="EI264" i="1" s="1"/>
  <c r="EH272" i="1"/>
  <c r="EI272" i="1" s="1"/>
  <c r="EH284" i="1"/>
  <c r="EI284" i="1" s="1"/>
  <c r="EH292" i="1"/>
  <c r="EI292" i="1" s="1"/>
  <c r="EH300" i="1"/>
  <c r="EI300" i="1" s="1"/>
  <c r="EH266" i="1"/>
  <c r="EI266" i="1" s="1"/>
  <c r="EH249" i="1"/>
  <c r="EI249" i="1" s="1"/>
  <c r="EH257" i="1"/>
  <c r="EI257" i="1" s="1"/>
  <c r="EH265" i="1"/>
  <c r="EI265" i="1" s="1"/>
  <c r="EH244" i="1"/>
  <c r="EI244" i="1" s="1"/>
  <c r="EH285" i="1"/>
  <c r="EI285" i="1" s="1"/>
  <c r="EH293" i="1"/>
  <c r="EI293" i="1" s="1"/>
  <c r="EH301" i="1"/>
  <c r="EI301" i="1" s="1"/>
  <c r="EH251" i="1"/>
  <c r="EI251" i="1" s="1"/>
  <c r="EH259" i="1"/>
  <c r="EI259" i="1" s="1"/>
  <c r="EH267" i="1"/>
  <c r="EI267" i="1" s="1"/>
  <c r="EH252" i="1"/>
  <c r="EI252" i="1" s="1"/>
  <c r="EH260" i="1"/>
  <c r="EI260" i="1" s="1"/>
  <c r="EH268" i="1"/>
  <c r="EI268" i="1" s="1"/>
  <c r="EH280" i="1"/>
  <c r="EI280" i="1" s="1"/>
  <c r="EH288" i="1"/>
  <c r="EI288" i="1" s="1"/>
  <c r="EH296" i="1"/>
  <c r="EI296" i="1" s="1"/>
  <c r="EH304" i="1"/>
  <c r="EI304" i="1" s="1"/>
  <c r="EH269" i="1"/>
  <c r="EI269" i="1" s="1"/>
  <c r="EH278" i="1"/>
  <c r="EI278" i="1" s="1"/>
  <c r="EH297" i="1"/>
  <c r="EI297" i="1" s="1"/>
  <c r="EH279" i="1"/>
  <c r="EI279" i="1" s="1"/>
  <c r="EH302" i="1"/>
  <c r="EI302" i="1" s="1"/>
  <c r="EH303" i="1"/>
  <c r="EI303" i="1" s="1"/>
  <c r="EH277" i="1"/>
  <c r="EI277" i="1" s="1"/>
  <c r="EH287" i="1"/>
  <c r="EI287" i="1" s="1"/>
  <c r="EH281" i="1"/>
  <c r="EI281" i="1" s="1"/>
  <c r="EH245" i="1"/>
  <c r="EI245" i="1" s="1"/>
  <c r="EH289" i="1"/>
  <c r="EI289" i="1" s="1"/>
  <c r="EH295" i="1"/>
  <c r="EI295" i="1" s="1"/>
  <c r="EH286" i="1"/>
  <c r="EI286" i="1" s="1"/>
  <c r="EH253" i="1"/>
  <c r="EI253" i="1" s="1"/>
  <c r="EH294" i="1"/>
  <c r="EI294" i="1" s="1"/>
  <c r="EH261" i="1"/>
  <c r="EI261" i="1" s="1"/>
  <c r="EI276" i="1"/>
  <c r="EN248" i="1"/>
  <c r="EN256" i="1"/>
  <c r="EN264" i="1"/>
  <c r="EN272" i="1"/>
  <c r="EN284" i="1"/>
  <c r="EN292" i="1"/>
  <c r="EN300" i="1"/>
  <c r="EN288" i="1"/>
  <c r="EN249" i="1"/>
  <c r="EN257" i="1"/>
  <c r="EN265" i="1"/>
  <c r="EN244" i="1"/>
  <c r="EN285" i="1"/>
  <c r="EN293" i="1"/>
  <c r="EN301" i="1"/>
  <c r="EN260" i="1"/>
  <c r="EN296" i="1"/>
  <c r="EN250" i="1"/>
  <c r="EN258" i="1"/>
  <c r="EN266" i="1"/>
  <c r="EN278" i="1"/>
  <c r="EN286" i="1"/>
  <c r="EN294" i="1"/>
  <c r="EN302" i="1"/>
  <c r="EN304" i="1"/>
  <c r="EN251" i="1"/>
  <c r="EN259" i="1"/>
  <c r="EN267" i="1"/>
  <c r="EN279" i="1"/>
  <c r="EN287" i="1"/>
  <c r="EN295" i="1"/>
  <c r="EN303" i="1"/>
  <c r="EN252" i="1"/>
  <c r="EN268" i="1"/>
  <c r="EN280" i="1"/>
  <c r="EN245" i="1"/>
  <c r="EN253" i="1"/>
  <c r="EN261" i="1"/>
  <c r="EN269" i="1"/>
  <c r="EN281" i="1"/>
  <c r="EN289" i="1"/>
  <c r="EN246" i="1"/>
  <c r="EN254" i="1"/>
  <c r="EN262" i="1"/>
  <c r="EN270" i="1"/>
  <c r="EN282" i="1"/>
  <c r="EN290" i="1"/>
  <c r="EN298" i="1"/>
  <c r="EN247" i="1"/>
  <c r="EN255" i="1"/>
  <c r="EN263" i="1"/>
  <c r="EN271" i="1"/>
  <c r="EN297" i="1"/>
  <c r="EN277" i="1"/>
  <c r="EN291" i="1"/>
  <c r="EN299" i="1"/>
  <c r="EN283" i="1"/>
  <c r="AU304" i="2"/>
  <c r="AU310" i="2"/>
  <c r="DY227" i="1"/>
  <c r="DY229" i="1"/>
  <c r="EA266" i="1" l="1"/>
  <c r="EA297" i="1"/>
  <c r="AS223" i="2"/>
  <c r="AS222" i="2"/>
  <c r="AS221" i="2"/>
  <c r="AS220" i="2"/>
  <c r="AS219" i="2"/>
  <c r="AS218" i="2"/>
  <c r="AS217" i="2"/>
  <c r="AS216" i="2"/>
  <c r="AS215" i="2"/>
  <c r="AS214" i="2"/>
  <c r="AS213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Q223" i="2"/>
  <c r="AQ222" i="2"/>
  <c r="AQ221" i="2"/>
  <c r="AQ220" i="2"/>
  <c r="AQ219" i="2"/>
  <c r="AQ218" i="2"/>
  <c r="AQ217" i="2"/>
  <c r="AQ216" i="2"/>
  <c r="AQ215" i="2"/>
  <c r="AQ214" i="2"/>
  <c r="AQ213" i="2"/>
  <c r="AQ212" i="2"/>
  <c r="AQ211" i="2"/>
  <c r="AQ210" i="2"/>
  <c r="AQ209" i="2"/>
  <c r="AQ208" i="2"/>
  <c r="AQ207" i="2"/>
  <c r="AQ206" i="2"/>
  <c r="AQ205" i="2"/>
  <c r="AQ204" i="2"/>
  <c r="AQ203" i="2"/>
  <c r="AQ202" i="2"/>
  <c r="AQ201" i="2"/>
  <c r="AQ200" i="2"/>
  <c r="AQ199" i="2"/>
  <c r="AQ198" i="2"/>
  <c r="AQ197" i="2"/>
  <c r="AS197" i="2"/>
  <c r="AR197" i="2"/>
  <c r="EA267" i="1" l="1"/>
  <c r="EA298" i="1"/>
  <c r="AU223" i="2"/>
  <c r="EA268" i="1" l="1"/>
  <c r="EA299" i="1"/>
  <c r="DH196" i="1"/>
  <c r="EA269" i="1" l="1"/>
  <c r="EA300" i="1"/>
  <c r="FY349" i="1"/>
  <c r="FY343" i="1"/>
  <c r="GF343" i="1" s="1"/>
  <c r="FY342" i="1"/>
  <c r="GF342" i="1" s="1"/>
  <c r="FY341" i="1"/>
  <c r="GF341" i="1" s="1"/>
  <c r="FY340" i="1"/>
  <c r="FY339" i="1"/>
  <c r="EA270" i="1" l="1"/>
  <c r="EA301" i="1"/>
  <c r="GF339" i="1"/>
  <c r="GF349" i="1"/>
  <c r="GE349" i="1"/>
  <c r="FR350" i="1"/>
  <c r="GF340" i="1"/>
  <c r="GE339" i="1"/>
  <c r="FR351" i="1"/>
  <c r="EA271" i="1" l="1"/>
  <c r="EA302" i="1"/>
  <c r="EZ331" i="1"/>
  <c r="FA331" i="1"/>
  <c r="FB331" i="1"/>
  <c r="FC331" i="1"/>
  <c r="FD331" i="1"/>
  <c r="FE331" i="1"/>
  <c r="FF331" i="1"/>
  <c r="FG331" i="1"/>
  <c r="FH331" i="1"/>
  <c r="EY331" i="1"/>
  <c r="FE325" i="1"/>
  <c r="FF325" i="1"/>
  <c r="FG325" i="1"/>
  <c r="FH325" i="1"/>
  <c r="FD325" i="1"/>
  <c r="EZ325" i="1"/>
  <c r="FA325" i="1"/>
  <c r="FB325" i="1"/>
  <c r="FC325" i="1"/>
  <c r="EY325" i="1"/>
  <c r="EX326" i="1"/>
  <c r="EX332" i="1" s="1"/>
  <c r="EZ319" i="1"/>
  <c r="FA319" i="1"/>
  <c r="FB319" i="1"/>
  <c r="FC319" i="1"/>
  <c r="FD319" i="1"/>
  <c r="FE319" i="1"/>
  <c r="FF319" i="1"/>
  <c r="FG319" i="1"/>
  <c r="FH319" i="1"/>
  <c r="EY319" i="1"/>
  <c r="EX321" i="1"/>
  <c r="EX327" i="1" s="1"/>
  <c r="EX333" i="1" s="1"/>
  <c r="EX322" i="1"/>
  <c r="EX328" i="1" s="1"/>
  <c r="EX334" i="1" s="1"/>
  <c r="EX323" i="1"/>
  <c r="EX329" i="1" s="1"/>
  <c r="EX335" i="1" s="1"/>
  <c r="EX320" i="1"/>
  <c r="EX319" i="1"/>
  <c r="EX325" i="1" s="1"/>
  <c r="EX331" i="1" s="1"/>
  <c r="FO314" i="1"/>
  <c r="EY321" i="1"/>
  <c r="FO313" i="1"/>
  <c r="FE326" i="1"/>
  <c r="FF326" i="1"/>
  <c r="FG326" i="1"/>
  <c r="FH326" i="1"/>
  <c r="EY332" i="1"/>
  <c r="FB332" i="1"/>
  <c r="FC332" i="1"/>
  <c r="FD332" i="1"/>
  <c r="FE332" i="1"/>
  <c r="FF332" i="1"/>
  <c r="FG332" i="1"/>
  <c r="FD326" i="1"/>
  <c r="FB320" i="1"/>
  <c r="FC320" i="1"/>
  <c r="FD320" i="1"/>
  <c r="FE320" i="1"/>
  <c r="FF320" i="1"/>
  <c r="FG320" i="1"/>
  <c r="FH320" i="1"/>
  <c r="EY326" i="1"/>
  <c r="EZ326" i="1"/>
  <c r="FA326" i="1"/>
  <c r="FB326" i="1"/>
  <c r="FC326" i="1"/>
  <c r="EA272" i="1" l="1"/>
  <c r="EA304" i="1" s="1"/>
  <c r="EA303" i="1"/>
  <c r="FA320" i="1"/>
  <c r="EY320" i="1"/>
  <c r="FA332" i="1"/>
  <c r="FH332" i="1"/>
  <c r="EZ332" i="1"/>
  <c r="EU304" i="1" l="1"/>
  <c r="EV304" i="1" s="1"/>
  <c r="ER304" i="1"/>
  <c r="ES304" i="1" s="1"/>
  <c r="EO304" i="1"/>
  <c r="EP304" i="1" s="1"/>
  <c r="EM304" i="1"/>
  <c r="EJ304" i="1"/>
  <c r="EG304" i="1"/>
  <c r="EU303" i="1"/>
  <c r="EV303" i="1" s="1"/>
  <c r="ER303" i="1"/>
  <c r="ES303" i="1" s="1"/>
  <c r="EO303" i="1"/>
  <c r="EP303" i="1" s="1"/>
  <c r="EM303" i="1"/>
  <c r="EJ303" i="1"/>
  <c r="EG303" i="1"/>
  <c r="EU302" i="1"/>
  <c r="EV302" i="1" s="1"/>
  <c r="ER302" i="1"/>
  <c r="ES302" i="1" s="1"/>
  <c r="EO302" i="1"/>
  <c r="EP302" i="1" s="1"/>
  <c r="EM302" i="1"/>
  <c r="EJ302" i="1"/>
  <c r="EG302" i="1"/>
  <c r="EU301" i="1"/>
  <c r="EV301" i="1" s="1"/>
  <c r="ER301" i="1"/>
  <c r="ES301" i="1" s="1"/>
  <c r="EO301" i="1"/>
  <c r="EP301" i="1" s="1"/>
  <c r="EM301" i="1"/>
  <c r="EJ301" i="1"/>
  <c r="EG301" i="1"/>
  <c r="EU300" i="1"/>
  <c r="EV300" i="1" s="1"/>
  <c r="ER300" i="1"/>
  <c r="ES300" i="1" s="1"/>
  <c r="EO300" i="1"/>
  <c r="EP300" i="1" s="1"/>
  <c r="EM300" i="1"/>
  <c r="EJ300" i="1"/>
  <c r="EG300" i="1"/>
  <c r="EU299" i="1"/>
  <c r="EV299" i="1" s="1"/>
  <c r="ER299" i="1"/>
  <c r="ES299" i="1" s="1"/>
  <c r="EO299" i="1"/>
  <c r="EP299" i="1" s="1"/>
  <c r="EM299" i="1"/>
  <c r="EJ299" i="1"/>
  <c r="EG299" i="1"/>
  <c r="EU298" i="1"/>
  <c r="EV298" i="1" s="1"/>
  <c r="ER298" i="1"/>
  <c r="ES298" i="1" s="1"/>
  <c r="EO298" i="1"/>
  <c r="EP298" i="1" s="1"/>
  <c r="EM298" i="1"/>
  <c r="EJ298" i="1"/>
  <c r="EG298" i="1"/>
  <c r="EU297" i="1"/>
  <c r="EV297" i="1" s="1"/>
  <c r="ER297" i="1"/>
  <c r="ES297" i="1" s="1"/>
  <c r="EO297" i="1"/>
  <c r="EP297" i="1" s="1"/>
  <c r="EM297" i="1"/>
  <c r="EJ297" i="1"/>
  <c r="EG297" i="1"/>
  <c r="EU296" i="1"/>
  <c r="EV296" i="1" s="1"/>
  <c r="ER296" i="1"/>
  <c r="ES296" i="1" s="1"/>
  <c r="EO296" i="1"/>
  <c r="EP296" i="1" s="1"/>
  <c r="EM296" i="1"/>
  <c r="EJ296" i="1"/>
  <c r="EG296" i="1"/>
  <c r="EU295" i="1"/>
  <c r="EV295" i="1" s="1"/>
  <c r="ER295" i="1"/>
  <c r="ES295" i="1" s="1"/>
  <c r="EO295" i="1"/>
  <c r="EP295" i="1" s="1"/>
  <c r="EM295" i="1"/>
  <c r="EJ295" i="1"/>
  <c r="EG295" i="1"/>
  <c r="EU294" i="1"/>
  <c r="EV294" i="1" s="1"/>
  <c r="ER294" i="1"/>
  <c r="ES294" i="1" s="1"/>
  <c r="EO294" i="1"/>
  <c r="EP294" i="1" s="1"/>
  <c r="EM294" i="1"/>
  <c r="EJ294" i="1"/>
  <c r="EG294" i="1"/>
  <c r="EU293" i="1"/>
  <c r="EV293" i="1" s="1"/>
  <c r="ER293" i="1"/>
  <c r="ES293" i="1" s="1"/>
  <c r="EO293" i="1"/>
  <c r="EP293" i="1" s="1"/>
  <c r="EM293" i="1"/>
  <c r="EJ293" i="1"/>
  <c r="EG293" i="1"/>
  <c r="EU292" i="1"/>
  <c r="EV292" i="1" s="1"/>
  <c r="ER292" i="1"/>
  <c r="ES292" i="1" s="1"/>
  <c r="EO292" i="1"/>
  <c r="EP292" i="1" s="1"/>
  <c r="EM292" i="1"/>
  <c r="EJ292" i="1"/>
  <c r="EG292" i="1"/>
  <c r="EU291" i="1"/>
  <c r="EV291" i="1" s="1"/>
  <c r="ER291" i="1"/>
  <c r="ES291" i="1" s="1"/>
  <c r="EO291" i="1"/>
  <c r="EP291" i="1" s="1"/>
  <c r="EM291" i="1"/>
  <c r="EJ291" i="1"/>
  <c r="EG291" i="1"/>
  <c r="EU290" i="1"/>
  <c r="EV290" i="1" s="1"/>
  <c r="ER290" i="1"/>
  <c r="ES290" i="1" s="1"/>
  <c r="EO290" i="1"/>
  <c r="EP290" i="1" s="1"/>
  <c r="EM290" i="1"/>
  <c r="EJ290" i="1"/>
  <c r="EG290" i="1"/>
  <c r="EU289" i="1"/>
  <c r="EV289" i="1" s="1"/>
  <c r="ER289" i="1"/>
  <c r="ES289" i="1" s="1"/>
  <c r="EO289" i="1"/>
  <c r="EP289" i="1" s="1"/>
  <c r="EM289" i="1"/>
  <c r="EJ289" i="1"/>
  <c r="EG289" i="1"/>
  <c r="EU288" i="1"/>
  <c r="EV288" i="1" s="1"/>
  <c r="ER288" i="1"/>
  <c r="ES288" i="1" s="1"/>
  <c r="EO288" i="1"/>
  <c r="EP288" i="1" s="1"/>
  <c r="EM288" i="1"/>
  <c r="EJ288" i="1"/>
  <c r="EG288" i="1"/>
  <c r="EU287" i="1"/>
  <c r="EV287" i="1" s="1"/>
  <c r="ER287" i="1"/>
  <c r="ES287" i="1" s="1"/>
  <c r="EO287" i="1"/>
  <c r="EP287" i="1" s="1"/>
  <c r="EM287" i="1"/>
  <c r="EJ287" i="1"/>
  <c r="EG287" i="1"/>
  <c r="EU286" i="1"/>
  <c r="EV286" i="1" s="1"/>
  <c r="ER286" i="1"/>
  <c r="ES286" i="1" s="1"/>
  <c r="EO286" i="1"/>
  <c r="EP286" i="1" s="1"/>
  <c r="EM286" i="1"/>
  <c r="EJ286" i="1"/>
  <c r="EG286" i="1"/>
  <c r="EU285" i="1"/>
  <c r="EV285" i="1" s="1"/>
  <c r="ER285" i="1"/>
  <c r="ES285" i="1" s="1"/>
  <c r="EO285" i="1"/>
  <c r="EP285" i="1" s="1"/>
  <c r="EM285" i="1"/>
  <c r="EJ285" i="1"/>
  <c r="EG285" i="1"/>
  <c r="EU284" i="1"/>
  <c r="EV284" i="1" s="1"/>
  <c r="ER284" i="1"/>
  <c r="ES284" i="1" s="1"/>
  <c r="EO284" i="1"/>
  <c r="EP284" i="1" s="1"/>
  <c r="EM284" i="1"/>
  <c r="EJ284" i="1"/>
  <c r="EG284" i="1"/>
  <c r="EU283" i="1"/>
  <c r="EV283" i="1" s="1"/>
  <c r="ER283" i="1"/>
  <c r="ES283" i="1" s="1"/>
  <c r="EO283" i="1"/>
  <c r="EP283" i="1" s="1"/>
  <c r="EM283" i="1"/>
  <c r="EJ283" i="1"/>
  <c r="EG283" i="1"/>
  <c r="EU282" i="1"/>
  <c r="EV282" i="1" s="1"/>
  <c r="ER282" i="1"/>
  <c r="ES282" i="1" s="1"/>
  <c r="EO282" i="1"/>
  <c r="EP282" i="1" s="1"/>
  <c r="EM282" i="1"/>
  <c r="EJ282" i="1"/>
  <c r="EG282" i="1"/>
  <c r="EU281" i="1"/>
  <c r="EV281" i="1" s="1"/>
  <c r="ER281" i="1"/>
  <c r="ES281" i="1" s="1"/>
  <c r="EO281" i="1"/>
  <c r="EP281" i="1" s="1"/>
  <c r="EM281" i="1"/>
  <c r="EJ281" i="1"/>
  <c r="EG281" i="1"/>
  <c r="EU280" i="1"/>
  <c r="EV280" i="1" s="1"/>
  <c r="ER280" i="1"/>
  <c r="ES280" i="1" s="1"/>
  <c r="EO280" i="1"/>
  <c r="EP280" i="1" s="1"/>
  <c r="EM280" i="1"/>
  <c r="EJ280" i="1"/>
  <c r="EG280" i="1"/>
  <c r="EU279" i="1"/>
  <c r="EV279" i="1" s="1"/>
  <c r="ER279" i="1"/>
  <c r="ES279" i="1" s="1"/>
  <c r="EO279" i="1"/>
  <c r="EP279" i="1" s="1"/>
  <c r="EM279" i="1"/>
  <c r="EJ279" i="1"/>
  <c r="EG279" i="1"/>
  <c r="EU278" i="1"/>
  <c r="EV278" i="1" s="1"/>
  <c r="ER278" i="1"/>
  <c r="ES278" i="1" s="1"/>
  <c r="EO278" i="1"/>
  <c r="EP278" i="1" s="1"/>
  <c r="EM278" i="1"/>
  <c r="EJ278" i="1"/>
  <c r="EG278" i="1"/>
  <c r="EU277" i="1"/>
  <c r="EV277" i="1" s="1"/>
  <c r="ER277" i="1"/>
  <c r="ES277" i="1" s="1"/>
  <c r="EO277" i="1"/>
  <c r="EP277" i="1" s="1"/>
  <c r="EM277" i="1"/>
  <c r="EJ277" i="1"/>
  <c r="EG277" i="1"/>
  <c r="EU276" i="1"/>
  <c r="EV276" i="1" s="1"/>
  <c r="ES276" i="1"/>
  <c r="EO276" i="1"/>
  <c r="EP276" i="1" s="1"/>
  <c r="EM276" i="1"/>
  <c r="EJ276" i="1"/>
  <c r="EU245" i="1"/>
  <c r="EV245" i="1" s="1"/>
  <c r="EU246" i="1"/>
  <c r="EV246" i="1" s="1"/>
  <c r="EU247" i="1"/>
  <c r="EV247" i="1" s="1"/>
  <c r="EU248" i="1"/>
  <c r="EV248" i="1" s="1"/>
  <c r="EU249" i="1"/>
  <c r="EV249" i="1" s="1"/>
  <c r="EU250" i="1"/>
  <c r="EV250" i="1" s="1"/>
  <c r="EU251" i="1"/>
  <c r="EV251" i="1" s="1"/>
  <c r="EU252" i="1"/>
  <c r="EV252" i="1" s="1"/>
  <c r="EU253" i="1"/>
  <c r="EV253" i="1" s="1"/>
  <c r="EU254" i="1"/>
  <c r="EV254" i="1" s="1"/>
  <c r="EU255" i="1"/>
  <c r="EV255" i="1" s="1"/>
  <c r="EU256" i="1"/>
  <c r="EV256" i="1" s="1"/>
  <c r="EU257" i="1"/>
  <c r="EV257" i="1" s="1"/>
  <c r="EU258" i="1"/>
  <c r="EV258" i="1" s="1"/>
  <c r="EU259" i="1"/>
  <c r="EV259" i="1" s="1"/>
  <c r="EU260" i="1"/>
  <c r="EV260" i="1" s="1"/>
  <c r="EU261" i="1"/>
  <c r="EV261" i="1" s="1"/>
  <c r="EU262" i="1"/>
  <c r="EV262" i="1" s="1"/>
  <c r="EU263" i="1"/>
  <c r="EV263" i="1" s="1"/>
  <c r="EU264" i="1"/>
  <c r="EV264" i="1" s="1"/>
  <c r="EU265" i="1"/>
  <c r="EV265" i="1" s="1"/>
  <c r="EU266" i="1"/>
  <c r="EV266" i="1" s="1"/>
  <c r="EU267" i="1"/>
  <c r="EV267" i="1" s="1"/>
  <c r="EU268" i="1"/>
  <c r="EV268" i="1" s="1"/>
  <c r="EU269" i="1"/>
  <c r="EV269" i="1" s="1"/>
  <c r="EU270" i="1"/>
  <c r="EV270" i="1" s="1"/>
  <c r="EU271" i="1"/>
  <c r="EV271" i="1" s="1"/>
  <c r="EU272" i="1"/>
  <c r="EV272" i="1" s="1"/>
  <c r="ER246" i="1"/>
  <c r="ES246" i="1" s="1"/>
  <c r="ER247" i="1"/>
  <c r="ES247" i="1" s="1"/>
  <c r="ER248" i="1"/>
  <c r="ES248" i="1" s="1"/>
  <c r="ER249" i="1"/>
  <c r="ES249" i="1" s="1"/>
  <c r="ER250" i="1"/>
  <c r="ES250" i="1" s="1"/>
  <c r="ER251" i="1"/>
  <c r="ES251" i="1" s="1"/>
  <c r="ER252" i="1"/>
  <c r="ES252" i="1" s="1"/>
  <c r="ER253" i="1"/>
  <c r="ES253" i="1" s="1"/>
  <c r="ER254" i="1"/>
  <c r="ES254" i="1" s="1"/>
  <c r="ER255" i="1"/>
  <c r="ES255" i="1" s="1"/>
  <c r="ER256" i="1"/>
  <c r="ES256" i="1" s="1"/>
  <c r="ER257" i="1"/>
  <c r="ES257" i="1" s="1"/>
  <c r="ER258" i="1"/>
  <c r="ES258" i="1" s="1"/>
  <c r="ER259" i="1"/>
  <c r="ES259" i="1" s="1"/>
  <c r="ER260" i="1"/>
  <c r="ES260" i="1" s="1"/>
  <c r="ER261" i="1"/>
  <c r="ES261" i="1" s="1"/>
  <c r="ER262" i="1"/>
  <c r="ES262" i="1" s="1"/>
  <c r="ER263" i="1"/>
  <c r="ES263" i="1" s="1"/>
  <c r="ER264" i="1"/>
  <c r="ES264" i="1" s="1"/>
  <c r="ER265" i="1"/>
  <c r="ES265" i="1" s="1"/>
  <c r="ER266" i="1"/>
  <c r="ES266" i="1" s="1"/>
  <c r="ER267" i="1"/>
  <c r="ES267" i="1" s="1"/>
  <c r="ER268" i="1"/>
  <c r="ES268" i="1" s="1"/>
  <c r="ER269" i="1"/>
  <c r="ES269" i="1" s="1"/>
  <c r="ER270" i="1"/>
  <c r="ES270" i="1" s="1"/>
  <c r="ER271" i="1"/>
  <c r="ES271" i="1" s="1"/>
  <c r="ER272" i="1"/>
  <c r="ES272" i="1" s="1"/>
  <c r="EO245" i="1"/>
  <c r="EP245" i="1" s="1"/>
  <c r="EO246" i="1"/>
  <c r="EP246" i="1" s="1"/>
  <c r="EO247" i="1"/>
  <c r="EP247" i="1" s="1"/>
  <c r="EO248" i="1"/>
  <c r="EP248" i="1" s="1"/>
  <c r="EO249" i="1"/>
  <c r="EP249" i="1" s="1"/>
  <c r="EO250" i="1"/>
  <c r="EP250" i="1" s="1"/>
  <c r="EO251" i="1"/>
  <c r="EP251" i="1" s="1"/>
  <c r="EO252" i="1"/>
  <c r="EP252" i="1" s="1"/>
  <c r="EO253" i="1"/>
  <c r="EP253" i="1" s="1"/>
  <c r="EO254" i="1"/>
  <c r="EP254" i="1" s="1"/>
  <c r="EO255" i="1"/>
  <c r="EP255" i="1" s="1"/>
  <c r="EO256" i="1"/>
  <c r="EP256" i="1" s="1"/>
  <c r="EO257" i="1"/>
  <c r="EP257" i="1" s="1"/>
  <c r="EO258" i="1"/>
  <c r="EP258" i="1" s="1"/>
  <c r="EO259" i="1"/>
  <c r="EP259" i="1" s="1"/>
  <c r="EO260" i="1"/>
  <c r="EP260" i="1" s="1"/>
  <c r="EO261" i="1"/>
  <c r="EP261" i="1" s="1"/>
  <c r="EO262" i="1"/>
  <c r="EP262" i="1" s="1"/>
  <c r="EO263" i="1"/>
  <c r="EP263" i="1" s="1"/>
  <c r="EO264" i="1"/>
  <c r="EP264" i="1" s="1"/>
  <c r="EO265" i="1"/>
  <c r="EP265" i="1" s="1"/>
  <c r="EO266" i="1"/>
  <c r="EP266" i="1" s="1"/>
  <c r="EO267" i="1"/>
  <c r="EP267" i="1" s="1"/>
  <c r="EO268" i="1"/>
  <c r="EP268" i="1" s="1"/>
  <c r="EO269" i="1"/>
  <c r="EP269" i="1" s="1"/>
  <c r="EO270" i="1"/>
  <c r="EP270" i="1" s="1"/>
  <c r="EO271" i="1"/>
  <c r="EP271" i="1" s="1"/>
  <c r="EO272" i="1"/>
  <c r="EP272" i="1" s="1"/>
  <c r="EM245" i="1"/>
  <c r="EM246" i="1"/>
  <c r="EM247" i="1"/>
  <c r="EM248" i="1"/>
  <c r="EM249" i="1"/>
  <c r="EM250" i="1"/>
  <c r="EM251" i="1"/>
  <c r="EM252" i="1"/>
  <c r="EM253" i="1"/>
  <c r="EM254" i="1"/>
  <c r="EM255" i="1"/>
  <c r="EM256" i="1"/>
  <c r="EM257" i="1"/>
  <c r="EM258" i="1"/>
  <c r="EM259" i="1"/>
  <c r="EM260" i="1"/>
  <c r="EM261" i="1"/>
  <c r="EM262" i="1"/>
  <c r="EM263" i="1"/>
  <c r="EM264" i="1"/>
  <c r="EM265" i="1"/>
  <c r="EM266" i="1"/>
  <c r="EM267" i="1"/>
  <c r="EM268" i="1"/>
  <c r="EM269" i="1"/>
  <c r="EM270" i="1"/>
  <c r="EM271" i="1"/>
  <c r="EM272" i="1"/>
  <c r="EJ245" i="1"/>
  <c r="EJ246" i="1"/>
  <c r="EJ247" i="1"/>
  <c r="EJ248" i="1"/>
  <c r="EJ249" i="1"/>
  <c r="EJ250" i="1"/>
  <c r="EJ251" i="1"/>
  <c r="EJ252" i="1"/>
  <c r="EJ253" i="1"/>
  <c r="EJ254" i="1"/>
  <c r="EJ255" i="1"/>
  <c r="EJ256" i="1"/>
  <c r="EJ257" i="1"/>
  <c r="EJ258" i="1"/>
  <c r="EJ259" i="1"/>
  <c r="EJ260" i="1"/>
  <c r="EJ261" i="1"/>
  <c r="EJ262" i="1"/>
  <c r="EJ263" i="1"/>
  <c r="EJ264" i="1"/>
  <c r="EJ265" i="1"/>
  <c r="EJ266" i="1"/>
  <c r="EJ267" i="1"/>
  <c r="EJ268" i="1"/>
  <c r="EJ269" i="1"/>
  <c r="EJ270" i="1"/>
  <c r="EJ271" i="1"/>
  <c r="EJ272" i="1"/>
  <c r="EG245" i="1"/>
  <c r="EG246" i="1"/>
  <c r="EG247" i="1"/>
  <c r="EG248" i="1"/>
  <c r="EG249" i="1"/>
  <c r="EG250" i="1"/>
  <c r="EG251" i="1"/>
  <c r="EG252" i="1"/>
  <c r="EG253" i="1"/>
  <c r="EG254" i="1"/>
  <c r="EG255" i="1"/>
  <c r="EG256" i="1"/>
  <c r="EG257" i="1"/>
  <c r="EG258" i="1"/>
  <c r="EG259" i="1"/>
  <c r="EG260" i="1"/>
  <c r="EG261" i="1"/>
  <c r="EG262" i="1"/>
  <c r="EG263" i="1"/>
  <c r="EG264" i="1"/>
  <c r="EG265" i="1"/>
  <c r="EG266" i="1"/>
  <c r="EG267" i="1"/>
  <c r="EG268" i="1"/>
  <c r="EG269" i="1"/>
  <c r="EG270" i="1"/>
  <c r="EG271" i="1"/>
  <c r="EG272" i="1"/>
  <c r="ER245" i="1"/>
  <c r="ES245" i="1" s="1"/>
  <c r="EU244" i="1"/>
  <c r="EV244" i="1" s="1"/>
  <c r="ER244" i="1"/>
  <c r="ES244" i="1" s="1"/>
  <c r="EO244" i="1"/>
  <c r="EP244" i="1" s="1"/>
  <c r="EM244" i="1"/>
  <c r="EJ244" i="1"/>
  <c r="EG244" i="1"/>
  <c r="CE262" i="2" l="1"/>
  <c r="CE261" i="2"/>
  <c r="CE260" i="2"/>
  <c r="CE259" i="2"/>
  <c r="CE258" i="2"/>
  <c r="CE257" i="2"/>
  <c r="CD13" i="1" l="1"/>
  <c r="CC13" i="1"/>
  <c r="BZ13" i="1"/>
  <c r="CD11" i="1"/>
  <c r="CC11" i="1"/>
  <c r="BZ11" i="1"/>
  <c r="CC9" i="1"/>
  <c r="BZ9" i="1"/>
  <c r="CD7" i="1"/>
  <c r="CC7" i="1"/>
  <c r="BZ7" i="1"/>
  <c r="CC5" i="1"/>
  <c r="BZ5" i="1"/>
  <c r="BZ3" i="1"/>
  <c r="CD3" i="1"/>
  <c r="CC3" i="1"/>
  <c r="DT238" i="1"/>
  <c r="DU238" i="1"/>
  <c r="DV238" i="1"/>
  <c r="DW238" i="1"/>
  <c r="DX238" i="1"/>
  <c r="DT240" i="1"/>
  <c r="DU240" i="1"/>
  <c r="DV240" i="1"/>
  <c r="DW240" i="1"/>
  <c r="DX240" i="1"/>
  <c r="R51" i="1" l="1"/>
  <c r="S51" i="1" s="1"/>
  <c r="T51" i="1" s="1"/>
  <c r="U51" i="1" s="1"/>
  <c r="V51" i="1" s="1"/>
  <c r="W51" i="1" s="1"/>
  <c r="M53" i="1" s="1"/>
  <c r="Q53" i="1" s="1"/>
  <c r="R53" i="1" s="1"/>
  <c r="S53" i="1" s="1"/>
  <c r="T53" i="1" s="1"/>
  <c r="U53" i="1" s="1"/>
  <c r="V53" i="1" s="1"/>
  <c r="W53" i="1" s="1"/>
  <c r="M55" i="1" s="1"/>
  <c r="Q55" i="1" s="1"/>
  <c r="R55" i="1" s="1"/>
  <c r="S55" i="1" s="1"/>
  <c r="T55" i="1" s="1"/>
  <c r="U55" i="1" s="1"/>
  <c r="V55" i="1" s="1"/>
  <c r="W55" i="1" s="1"/>
  <c r="BV243" i="2" l="1"/>
  <c r="AN195" i="2"/>
  <c r="AN194" i="2"/>
  <c r="AO194" i="2" s="1"/>
  <c r="AN193" i="2"/>
  <c r="AO193" i="2" s="1"/>
  <c r="AN192" i="2"/>
  <c r="AO192" i="2" s="1"/>
  <c r="AN191" i="2"/>
  <c r="K170" i="2"/>
  <c r="K169" i="2"/>
  <c r="K167" i="2"/>
  <c r="K165" i="2"/>
  <c r="K164" i="2"/>
  <c r="K163" i="2"/>
  <c r="K168" i="2" s="1"/>
  <c r="T163" i="2"/>
  <c r="K162" i="2"/>
  <c r="K157" i="2"/>
  <c r="BU14" i="1" s="1"/>
  <c r="K156" i="2"/>
  <c r="AB82" i="1" s="1"/>
  <c r="N147" i="2"/>
  <c r="M147" i="2"/>
  <c r="L147" i="2"/>
  <c r="K143" i="2"/>
  <c r="N143" i="2"/>
  <c r="M143" i="2"/>
  <c r="L143" i="2"/>
  <c r="M135" i="2"/>
  <c r="M150" i="2" s="1"/>
  <c r="K135" i="2"/>
  <c r="N135" i="2"/>
  <c r="L135" i="2"/>
  <c r="O134" i="2"/>
  <c r="O132" i="2"/>
  <c r="K124" i="2"/>
  <c r="M124" i="2"/>
  <c r="N124" i="2"/>
  <c r="L120" i="2"/>
  <c r="N120" i="2"/>
  <c r="L112" i="2"/>
  <c r="N112" i="2"/>
  <c r="O111" i="2"/>
  <c r="O109" i="2"/>
  <c r="L52" i="2"/>
  <c r="K52" i="2"/>
  <c r="N100" i="2"/>
  <c r="K50" i="2"/>
  <c r="M47" i="2"/>
  <c r="N96" i="2"/>
  <c r="M38" i="2"/>
  <c r="L38" i="2"/>
  <c r="K38" i="2"/>
  <c r="N88" i="2"/>
  <c r="O87" i="2"/>
  <c r="P35" i="2" s="1"/>
  <c r="M34" i="2"/>
  <c r="L34" i="2"/>
  <c r="K34" i="2"/>
  <c r="O85" i="2"/>
  <c r="O84" i="2"/>
  <c r="L75" i="2"/>
  <c r="N75" i="2"/>
  <c r="L71" i="2"/>
  <c r="N71" i="2"/>
  <c r="M63" i="2"/>
  <c r="N63" i="2"/>
  <c r="L63" i="2"/>
  <c r="O62" i="2"/>
  <c r="O60" i="2"/>
  <c r="M54" i="2"/>
  <c r="L54" i="2"/>
  <c r="K54" i="2"/>
  <c r="M52" i="2"/>
  <c r="M27" i="2"/>
  <c r="M26" i="2"/>
  <c r="M50" i="2"/>
  <c r="L50" i="2"/>
  <c r="I50" i="2"/>
  <c r="I25" i="2" s="1"/>
  <c r="M24" i="2"/>
  <c r="I46" i="2"/>
  <c r="I23" i="2" s="1"/>
  <c r="F22" i="2"/>
  <c r="M22" i="2"/>
  <c r="M21" i="2"/>
  <c r="O42" i="2"/>
  <c r="O41" i="2"/>
  <c r="M40" i="2"/>
  <c r="L40" i="2"/>
  <c r="K40" i="2"/>
  <c r="K39" i="2"/>
  <c r="O39" i="2" s="1"/>
  <c r="M20" i="2"/>
  <c r="M19" i="2"/>
  <c r="M35" i="2"/>
  <c r="K35" i="2"/>
  <c r="N34" i="2"/>
  <c r="I34" i="2"/>
  <c r="I18" i="2" s="1"/>
  <c r="I32" i="2"/>
  <c r="I17" i="2" s="1"/>
  <c r="M16" i="2"/>
  <c r="DX229" i="1"/>
  <c r="DW229" i="1"/>
  <c r="DV229" i="1"/>
  <c r="DU229" i="1"/>
  <c r="DT229" i="1"/>
  <c r="DX227" i="1"/>
  <c r="DW227" i="1"/>
  <c r="DV227" i="1"/>
  <c r="DU227" i="1"/>
  <c r="DT227" i="1"/>
  <c r="C220" i="1"/>
  <c r="B220" i="1"/>
  <c r="DB217" i="1"/>
  <c r="DF217" i="1" s="1"/>
  <c r="DB216" i="1"/>
  <c r="DF216" i="1" s="1"/>
  <c r="DB215" i="1"/>
  <c r="DF215" i="1" s="1"/>
  <c r="DB214" i="1"/>
  <c r="DF214" i="1" s="1"/>
  <c r="DB213" i="1"/>
  <c r="DF213" i="1" s="1"/>
  <c r="C213" i="1"/>
  <c r="B213" i="1"/>
  <c r="DB212" i="1"/>
  <c r="DF212" i="1" s="1"/>
  <c r="DI211" i="1"/>
  <c r="DL211" i="1" s="1"/>
  <c r="DJ211" i="1"/>
  <c r="DB211" i="1"/>
  <c r="DF211" i="1" s="1"/>
  <c r="DB210" i="1"/>
  <c r="DB209" i="1"/>
  <c r="DB208" i="1"/>
  <c r="DB207" i="1"/>
  <c r="DF207" i="1" s="1"/>
  <c r="DB206" i="1"/>
  <c r="DF206" i="1" s="1"/>
  <c r="DB205" i="1"/>
  <c r="DF205" i="1" s="1"/>
  <c r="DB204" i="1"/>
  <c r="DF204" i="1" s="1"/>
  <c r="DB203" i="1"/>
  <c r="DF203" i="1" s="1"/>
  <c r="DJ202" i="1"/>
  <c r="DI202" i="1"/>
  <c r="DL202" i="1" s="1"/>
  <c r="DH202" i="1"/>
  <c r="DB202" i="1"/>
  <c r="DF202" i="1" s="1"/>
  <c r="DB201" i="1"/>
  <c r="DF201" i="1" s="1"/>
  <c r="DJ200" i="1"/>
  <c r="DI200" i="1"/>
  <c r="DB199" i="1"/>
  <c r="DF199" i="1" s="1"/>
  <c r="DB198" i="1"/>
  <c r="DF198" i="1" s="1"/>
  <c r="DH195" i="1"/>
  <c r="DB195" i="1"/>
  <c r="DG195" i="1" s="1"/>
  <c r="DB194" i="1"/>
  <c r="DG194" i="1" s="1"/>
  <c r="DH193" i="1"/>
  <c r="DB193" i="1"/>
  <c r="DG193" i="1" s="1"/>
  <c r="DB192" i="1"/>
  <c r="DG192" i="1" s="1"/>
  <c r="DJ191" i="1"/>
  <c r="DB191" i="1"/>
  <c r="DG191" i="1" s="1"/>
  <c r="DH190" i="1"/>
  <c r="DB190" i="1"/>
  <c r="DG190" i="1" s="1"/>
  <c r="C190" i="1"/>
  <c r="B190" i="1"/>
  <c r="DH189" i="1"/>
  <c r="DB189" i="1"/>
  <c r="DG189" i="1" s="1"/>
  <c r="DB188" i="1"/>
  <c r="DG188" i="1" s="1"/>
  <c r="DB187" i="1"/>
  <c r="DG187" i="1" s="1"/>
  <c r="DK219" i="1"/>
  <c r="DB185" i="1"/>
  <c r="DF185" i="1" s="1"/>
  <c r="DJ184" i="1"/>
  <c r="DI184" i="1"/>
  <c r="DH184" i="1"/>
  <c r="DB184" i="1"/>
  <c r="DF184" i="1" s="1"/>
  <c r="DB183" i="1"/>
  <c r="DF183" i="1" s="1"/>
  <c r="DJ182" i="1"/>
  <c r="DI182" i="1"/>
  <c r="DH182" i="1"/>
  <c r="DJ181" i="1"/>
  <c r="DI181" i="1"/>
  <c r="DH181" i="1"/>
  <c r="DB181" i="1"/>
  <c r="DF182" i="1" s="1"/>
  <c r="DB180" i="1"/>
  <c r="DF180" i="1" s="1"/>
  <c r="DB179" i="1"/>
  <c r="DF179" i="1" s="1"/>
  <c r="DB178" i="1"/>
  <c r="DB177" i="1"/>
  <c r="DF177" i="1" s="1"/>
  <c r="DB176" i="1"/>
  <c r="DF176" i="1" s="1"/>
  <c r="DB175" i="1"/>
  <c r="DF175" i="1" s="1"/>
  <c r="DI169" i="1"/>
  <c r="DJ169" i="1"/>
  <c r="DH169" i="1"/>
  <c r="DN169" i="1" s="1"/>
  <c r="DF169" i="1"/>
  <c r="DE169" i="1"/>
  <c r="DD169" i="1"/>
  <c r="DC169" i="1"/>
  <c r="DJ168" i="1"/>
  <c r="DI168" i="1"/>
  <c r="DH168" i="1"/>
  <c r="DF168" i="1"/>
  <c r="DE168" i="1"/>
  <c r="DD168" i="1"/>
  <c r="DC168" i="1"/>
  <c r="DF167" i="1"/>
  <c r="DE167" i="1"/>
  <c r="DD167" i="1"/>
  <c r="DC167" i="1"/>
  <c r="DF166" i="1"/>
  <c r="DE166" i="1"/>
  <c r="DD166" i="1"/>
  <c r="DC166" i="1"/>
  <c r="DF165" i="1"/>
  <c r="DE165" i="1"/>
  <c r="DD165" i="1"/>
  <c r="DC165" i="1"/>
  <c r="DF164" i="1"/>
  <c r="DE164" i="1"/>
  <c r="DD164" i="1"/>
  <c r="DC164" i="1"/>
  <c r="DJ163" i="1"/>
  <c r="DI163" i="1"/>
  <c r="DH163" i="1"/>
  <c r="DL163" i="1" s="1"/>
  <c r="DF163" i="1"/>
  <c r="DG163" i="1" s="1"/>
  <c r="DE163" i="1"/>
  <c r="DD163" i="1"/>
  <c r="DC163" i="1"/>
  <c r="DJ162" i="1"/>
  <c r="DI162" i="1"/>
  <c r="DH162" i="1"/>
  <c r="DF162" i="1"/>
  <c r="DE162" i="1"/>
  <c r="DD162" i="1"/>
  <c r="DC162" i="1"/>
  <c r="DJ161" i="1"/>
  <c r="DI161" i="1"/>
  <c r="DH161" i="1"/>
  <c r="DF161" i="1"/>
  <c r="DC161" i="1"/>
  <c r="BE161" i="1"/>
  <c r="BB161" i="1"/>
  <c r="AY161" i="1"/>
  <c r="AT161" i="1"/>
  <c r="AO161" i="1"/>
  <c r="AJ161" i="1"/>
  <c r="AE161" i="1"/>
  <c r="AG161" i="1" s="1"/>
  <c r="Z161" i="1"/>
  <c r="U161" i="1"/>
  <c r="T161" i="1"/>
  <c r="C161" i="1"/>
  <c r="B161" i="1"/>
  <c r="DJ160" i="1"/>
  <c r="DH160" i="1"/>
  <c r="U160" i="1"/>
  <c r="V160" i="1" s="1"/>
  <c r="W160" i="1" s="1"/>
  <c r="X160" i="1" s="1"/>
  <c r="Y160" i="1" s="1"/>
  <c r="C147" i="1"/>
  <c r="B147" i="1"/>
  <c r="BS141" i="1"/>
  <c r="C126" i="1"/>
  <c r="B126" i="1"/>
  <c r="V123" i="1"/>
  <c r="Z160" i="1" s="1"/>
  <c r="AA160" i="1" s="1"/>
  <c r="AB160" i="1" s="1"/>
  <c r="AC160" i="1" s="1"/>
  <c r="AD160" i="1" s="1"/>
  <c r="BE121" i="1"/>
  <c r="BD121" i="1"/>
  <c r="BC121" i="1"/>
  <c r="BT104" i="1"/>
  <c r="BU104" i="1" s="1"/>
  <c r="BV104" i="1" s="1"/>
  <c r="BW104" i="1" s="1"/>
  <c r="BG104" i="1"/>
  <c r="BH104" i="1" s="1"/>
  <c r="BI104" i="1" s="1"/>
  <c r="BJ104" i="1" s="1"/>
  <c r="BK104" i="1" s="1"/>
  <c r="BL104" i="1" s="1"/>
  <c r="BM104" i="1" s="1"/>
  <c r="BN104" i="1" s="1"/>
  <c r="BO104" i="1" s="1"/>
  <c r="BB114" i="1" s="1"/>
  <c r="BF114" i="1" s="1"/>
  <c r="BG114" i="1" s="1"/>
  <c r="BH114" i="1" s="1"/>
  <c r="BI114" i="1" s="1"/>
  <c r="BJ114" i="1" s="1"/>
  <c r="BK114" i="1" s="1"/>
  <c r="BL114" i="1" s="1"/>
  <c r="BM114" i="1" s="1"/>
  <c r="BN114" i="1" s="1"/>
  <c r="BO114" i="1" s="1"/>
  <c r="AQ95" i="1"/>
  <c r="AP95" i="1"/>
  <c r="AO95" i="1"/>
  <c r="AN95" i="1"/>
  <c r="AM95" i="1"/>
  <c r="AL95" i="1"/>
  <c r="AK95" i="1"/>
  <c r="AJ95" i="1"/>
  <c r="AI95" i="1"/>
  <c r="AH95" i="1"/>
  <c r="AG95" i="1"/>
  <c r="AA94" i="1"/>
  <c r="Z85" i="1"/>
  <c r="Z88" i="1" s="1"/>
  <c r="AA84" i="1"/>
  <c r="Z84" i="1"/>
  <c r="Z87" i="1" s="1"/>
  <c r="O84" i="1"/>
  <c r="N84" i="1"/>
  <c r="M84" i="1"/>
  <c r="K84" i="1"/>
  <c r="L84" i="1" s="1"/>
  <c r="J84" i="1"/>
  <c r="H84" i="1"/>
  <c r="I84" i="1" s="1"/>
  <c r="G84" i="1"/>
  <c r="Z83" i="1"/>
  <c r="AA82" i="1"/>
  <c r="Z82" i="1"/>
  <c r="AE77" i="1"/>
  <c r="AD77" i="1"/>
  <c r="AC77" i="1"/>
  <c r="AB77" i="1"/>
  <c r="AA77" i="1"/>
  <c r="AA85" i="1" s="1"/>
  <c r="AE76" i="1"/>
  <c r="AD76" i="1"/>
  <c r="AC76" i="1"/>
  <c r="AE75" i="1"/>
  <c r="AD75" i="1"/>
  <c r="AC75" i="1"/>
  <c r="AB75" i="1"/>
  <c r="AA75" i="1"/>
  <c r="AA83" i="1" s="1"/>
  <c r="AE74" i="1"/>
  <c r="AD74" i="1"/>
  <c r="AC74" i="1"/>
  <c r="K68" i="1"/>
  <c r="J68" i="1"/>
  <c r="I68" i="1"/>
  <c r="M73" i="1" s="1"/>
  <c r="M46" i="1"/>
  <c r="L46" i="1"/>
  <c r="K46" i="1"/>
  <c r="J46" i="1"/>
  <c r="J39" i="1"/>
  <c r="BS32" i="1"/>
  <c r="BS30" i="1"/>
  <c r="BS28" i="1"/>
  <c r="BS26" i="1"/>
  <c r="BS22" i="1"/>
  <c r="J22" i="1"/>
  <c r="L20" i="1" s="1"/>
  <c r="J19" i="1"/>
  <c r="BS18" i="1"/>
  <c r="BS34" i="1" s="1"/>
  <c r="BS36" i="1" s="1"/>
  <c r="CD17" i="1"/>
  <c r="CC17" i="1"/>
  <c r="BZ17" i="1"/>
  <c r="BY17" i="1"/>
  <c r="CD16" i="1"/>
  <c r="CC16" i="1"/>
  <c r="BZ16" i="1"/>
  <c r="BY16" i="1"/>
  <c r="BY19" i="1" s="1"/>
  <c r="CD15" i="1"/>
  <c r="CC15" i="1"/>
  <c r="CB15" i="1"/>
  <c r="CA15" i="1"/>
  <c r="BZ15" i="1"/>
  <c r="BY15" i="1"/>
  <c r="J15" i="1"/>
  <c r="CJ13" i="1"/>
  <c r="CI13" i="1"/>
  <c r="CE13" i="1"/>
  <c r="J12" i="1"/>
  <c r="CJ11" i="1"/>
  <c r="CI11" i="1"/>
  <c r="CE11" i="1"/>
  <c r="BS10" i="1"/>
  <c r="CJ9" i="1"/>
  <c r="CI9" i="1"/>
  <c r="CE9" i="1"/>
  <c r="CJ7" i="1"/>
  <c r="CI7" i="1"/>
  <c r="CH7" i="1"/>
  <c r="CE7" i="1"/>
  <c r="BS6" i="1"/>
  <c r="BS24" i="1" s="1"/>
  <c r="P6" i="1"/>
  <c r="X65" i="1" s="1"/>
  <c r="Y65" i="1" s="1"/>
  <c r="Z65" i="1" s="1"/>
  <c r="M6" i="1"/>
  <c r="M137" i="1" s="1"/>
  <c r="J6" i="1"/>
  <c r="N147" i="1" s="1"/>
  <c r="CJ5" i="1"/>
  <c r="CI5" i="1"/>
  <c r="CE5" i="1"/>
  <c r="CJ3" i="1"/>
  <c r="CI3" i="1"/>
  <c r="CE3" i="1"/>
  <c r="K150" i="2" l="1"/>
  <c r="L81" i="2"/>
  <c r="L150" i="2"/>
  <c r="I45" i="1"/>
  <c r="BB110" i="1" s="1"/>
  <c r="L202" i="1"/>
  <c r="M202" i="1" s="1"/>
  <c r="M49" i="2"/>
  <c r="K56" i="2"/>
  <c r="M44" i="2"/>
  <c r="L33" i="2"/>
  <c r="M74" i="1"/>
  <c r="AC161" i="1"/>
  <c r="O40" i="2"/>
  <c r="K112" i="2"/>
  <c r="M120" i="2"/>
  <c r="CC19" i="1"/>
  <c r="I44" i="1"/>
  <c r="BB109" i="1" s="1"/>
  <c r="DN161" i="1"/>
  <c r="M96" i="2"/>
  <c r="M112" i="2"/>
  <c r="L35" i="2"/>
  <c r="O35" i="2" s="1"/>
  <c r="K88" i="2"/>
  <c r="BZ104" i="1"/>
  <c r="CC104" i="1" s="1"/>
  <c r="CD104" i="1" s="1"/>
  <c r="CE104" i="1" s="1"/>
  <c r="BS114" i="1" s="1"/>
  <c r="BT114" i="1" s="1"/>
  <c r="BU114" i="1" s="1"/>
  <c r="BV114" i="1" s="1"/>
  <c r="BW114" i="1" s="1"/>
  <c r="BY114" i="1" s="1"/>
  <c r="BZ114" i="1" s="1"/>
  <c r="BY104" i="1"/>
  <c r="CD19" i="1"/>
  <c r="K63" i="2"/>
  <c r="L88" i="2"/>
  <c r="M156" i="2"/>
  <c r="BZ19" i="1"/>
  <c r="M88" i="2"/>
  <c r="L96" i="2"/>
  <c r="M129" i="1"/>
  <c r="M146" i="1"/>
  <c r="N129" i="1"/>
  <c r="O129" i="1" s="1"/>
  <c r="M119" i="1"/>
  <c r="M161" i="1"/>
  <c r="M162" i="1"/>
  <c r="M163" i="1"/>
  <c r="M168" i="1"/>
  <c r="M160" i="1"/>
  <c r="J16" i="1"/>
  <c r="M135" i="1"/>
  <c r="X70" i="1"/>
  <c r="Y70" i="1" s="1"/>
  <c r="Z70" i="1" s="1"/>
  <c r="M111" i="1"/>
  <c r="V131" i="1" s="1"/>
  <c r="N137" i="1"/>
  <c r="O137" i="1" s="1"/>
  <c r="M136" i="1"/>
  <c r="M115" i="1"/>
  <c r="M126" i="1"/>
  <c r="M138" i="1"/>
  <c r="M117" i="1"/>
  <c r="M127" i="1"/>
  <c r="U130" i="1" s="1"/>
  <c r="DN187" i="1"/>
  <c r="DN162" i="1"/>
  <c r="DN197" i="1"/>
  <c r="DN198" i="1"/>
  <c r="DN175" i="1"/>
  <c r="DN163" i="1"/>
  <c r="DN168" i="1"/>
  <c r="AB161" i="1"/>
  <c r="AD161" i="1"/>
  <c r="AZ161" i="1"/>
  <c r="W123" i="1"/>
  <c r="X123" i="1" s="1"/>
  <c r="Y123" i="1" s="1"/>
  <c r="BC161" i="1"/>
  <c r="AI161" i="1"/>
  <c r="AN161" i="1"/>
  <c r="BD161" i="1"/>
  <c r="AK161" i="1"/>
  <c r="BH161" i="1"/>
  <c r="BG161" i="1"/>
  <c r="BI161" i="1"/>
  <c r="BF161" i="1"/>
  <c r="V161" i="1"/>
  <c r="AL161" i="1"/>
  <c r="O34" i="2"/>
  <c r="M71" i="2"/>
  <c r="O133" i="2"/>
  <c r="M48" i="2"/>
  <c r="K96" i="2"/>
  <c r="O110" i="2"/>
  <c r="P32" i="2"/>
  <c r="K48" i="2"/>
  <c r="K75" i="2"/>
  <c r="O86" i="2"/>
  <c r="P34" i="2" s="1"/>
  <c r="O143" i="2"/>
  <c r="L124" i="2"/>
  <c r="O124" i="2" s="1"/>
  <c r="L48" i="2"/>
  <c r="O38" i="2"/>
  <c r="K37" i="2"/>
  <c r="K47" i="2"/>
  <c r="O61" i="2"/>
  <c r="K49" i="2"/>
  <c r="L55" i="2"/>
  <c r="M100" i="2"/>
  <c r="O135" i="2"/>
  <c r="L56" i="2"/>
  <c r="O50" i="2"/>
  <c r="K33" i="2"/>
  <c r="M43" i="2"/>
  <c r="L47" i="2"/>
  <c r="O54" i="2"/>
  <c r="K71" i="2"/>
  <c r="L49" i="2"/>
  <c r="M55" i="2"/>
  <c r="K100" i="2"/>
  <c r="K120" i="2"/>
  <c r="O147" i="2"/>
  <c r="O52" i="2"/>
  <c r="M33" i="2"/>
  <c r="L37" i="2"/>
  <c r="K32" i="2"/>
  <c r="M37" i="2"/>
  <c r="K159" i="2"/>
  <c r="AB84" i="1"/>
  <c r="AB87" i="1" s="1"/>
  <c r="AB88" i="1" s="1"/>
  <c r="L32" i="2"/>
  <c r="K53" i="2"/>
  <c r="M157" i="2"/>
  <c r="N50" i="1"/>
  <c r="L53" i="2"/>
  <c r="L45" i="2"/>
  <c r="M53" i="2"/>
  <c r="M56" i="2"/>
  <c r="M75" i="2"/>
  <c r="K43" i="2"/>
  <c r="L44" i="2"/>
  <c r="M45" i="2"/>
  <c r="L100" i="2"/>
  <c r="M168" i="2"/>
  <c r="M32" i="2"/>
  <c r="K45" i="2"/>
  <c r="BU4" i="1"/>
  <c r="BU22" i="1" s="1"/>
  <c r="O50" i="1"/>
  <c r="K44" i="2"/>
  <c r="K55" i="2"/>
  <c r="P50" i="1"/>
  <c r="BU6" i="1"/>
  <c r="BU10" i="1" s="1"/>
  <c r="BU16" i="1" s="1"/>
  <c r="L43" i="2"/>
  <c r="BB124" i="1"/>
  <c r="BF124" i="1" s="1"/>
  <c r="BG124" i="1" s="1"/>
  <c r="BH124" i="1" s="1"/>
  <c r="BI124" i="1" s="1"/>
  <c r="BJ124" i="1" s="1"/>
  <c r="BK124" i="1" s="1"/>
  <c r="BL124" i="1" s="1"/>
  <c r="BM124" i="1" s="1"/>
  <c r="BA124" i="1"/>
  <c r="DL167" i="1"/>
  <c r="DJ166" i="1"/>
  <c r="DI166" i="1"/>
  <c r="DH166" i="1"/>
  <c r="DN166" i="1" s="1"/>
  <c r="BT11" i="1"/>
  <c r="CJ15" i="1"/>
  <c r="Z123" i="1"/>
  <c r="AO160" i="1"/>
  <c r="AP160" i="1" s="1"/>
  <c r="AQ160" i="1" s="1"/>
  <c r="AR160" i="1" s="1"/>
  <c r="AS160" i="1" s="1"/>
  <c r="V132" i="1"/>
  <c r="H73" i="1"/>
  <c r="M75" i="1"/>
  <c r="M76" i="1"/>
  <c r="L68" i="1"/>
  <c r="AJ160" i="1"/>
  <c r="AK160" i="1" s="1"/>
  <c r="AL160" i="1" s="1"/>
  <c r="AM160" i="1" s="1"/>
  <c r="AN160" i="1" s="1"/>
  <c r="BC105" i="1"/>
  <c r="BC111" i="1" s="1"/>
  <c r="Y161" i="1"/>
  <c r="X161" i="1"/>
  <c r="W161" i="1"/>
  <c r="AR161" i="1"/>
  <c r="DJ167" i="1"/>
  <c r="DI167" i="1"/>
  <c r="DH167" i="1"/>
  <c r="AX161" i="1"/>
  <c r="AW161" i="1"/>
  <c r="AV161" i="1"/>
  <c r="AU161" i="1"/>
  <c r="J23" i="1"/>
  <c r="L19" i="1"/>
  <c r="DJ165" i="1"/>
  <c r="DI165" i="1"/>
  <c r="DH165" i="1"/>
  <c r="DN165" i="1" s="1"/>
  <c r="CI15" i="1"/>
  <c r="AS161" i="1"/>
  <c r="DJ164" i="1"/>
  <c r="DI164" i="1"/>
  <c r="DH164" i="1"/>
  <c r="DN164" i="1" s="1"/>
  <c r="B9" i="1"/>
  <c r="BT12" i="1"/>
  <c r="N135" i="1"/>
  <c r="N146" i="1"/>
  <c r="DI160" i="1"/>
  <c r="DN160" i="1" s="1"/>
  <c r="AM161" i="1"/>
  <c r="L12" i="1"/>
  <c r="M116" i="1"/>
  <c r="N126" i="1"/>
  <c r="W131" i="1" s="1"/>
  <c r="N138" i="1"/>
  <c r="AE160" i="1"/>
  <c r="AF160" i="1" s="1"/>
  <c r="AG160" i="1" s="1"/>
  <c r="AH160" i="1" s="1"/>
  <c r="AI160" i="1" s="1"/>
  <c r="AF161" i="1"/>
  <c r="DN201" i="1"/>
  <c r="E9" i="1"/>
  <c r="X66" i="1"/>
  <c r="Y66" i="1" s="1"/>
  <c r="Z66" i="1" s="1"/>
  <c r="M118" i="1"/>
  <c r="M125" i="1"/>
  <c r="N127" i="1"/>
  <c r="W130" i="1" s="1"/>
  <c r="N136" i="1"/>
  <c r="O136" i="1" s="1"/>
  <c r="M139" i="1"/>
  <c r="U132" i="1" s="1"/>
  <c r="AH161" i="1"/>
  <c r="AP161" i="1"/>
  <c r="DN185" i="1"/>
  <c r="BT14" i="1"/>
  <c r="BV14" i="1" s="1"/>
  <c r="L13" i="1"/>
  <c r="N125" i="1"/>
  <c r="O125" i="1" s="1"/>
  <c r="M128" i="1"/>
  <c r="O128" i="1" s="1"/>
  <c r="N139" i="1"/>
  <c r="M147" i="1"/>
  <c r="O147" i="1" s="1"/>
  <c r="AA161" i="1"/>
  <c r="AQ161" i="1"/>
  <c r="DN202" i="1"/>
  <c r="DH211" i="1"/>
  <c r="DH220" i="1" s="1"/>
  <c r="B10" i="1"/>
  <c r="K194" i="1"/>
  <c r="K180" i="1"/>
  <c r="K169" i="1"/>
  <c r="M169" i="1" s="1"/>
  <c r="K166" i="1"/>
  <c r="L166" i="1" s="1"/>
  <c r="K193" i="1"/>
  <c r="K192" i="1"/>
  <c r="K171" i="1"/>
  <c r="K162" i="1"/>
  <c r="K191" i="1"/>
  <c r="K172" i="1"/>
  <c r="K163" i="1"/>
  <c r="K186" i="1"/>
  <c r="K173" i="1"/>
  <c r="K164" i="1"/>
  <c r="L164" i="1" s="1"/>
  <c r="K182" i="1"/>
  <c r="K175" i="1"/>
  <c r="K181" i="1"/>
  <c r="K176" i="1"/>
  <c r="K170" i="1"/>
  <c r="M170" i="1" s="1"/>
  <c r="K185" i="1"/>
  <c r="K187" i="1" s="1"/>
  <c r="K174" i="1"/>
  <c r="K165" i="1"/>
  <c r="L165" i="1" s="1"/>
  <c r="K161" i="1"/>
  <c r="BT9" i="1"/>
  <c r="E27" i="1"/>
  <c r="E10" i="1"/>
  <c r="M112" i="1"/>
  <c r="V130" i="1" s="1"/>
  <c r="N128" i="1"/>
  <c r="BT27" i="1"/>
  <c r="M25" i="2"/>
  <c r="M18" i="2"/>
  <c r="M23" i="2"/>
  <c r="T159" i="2"/>
  <c r="CF3" i="1"/>
  <c r="AE82" i="1"/>
  <c r="AC83" i="1"/>
  <c r="T158" i="2"/>
  <c r="CK140" i="1"/>
  <c r="CH9" i="1" s="1"/>
  <c r="T154" i="2"/>
  <c r="T157" i="2"/>
  <c r="M72" i="1"/>
  <c r="I40" i="1" s="1"/>
  <c r="H72" i="1"/>
  <c r="U131" i="1"/>
  <c r="AB131" i="1" s="1"/>
  <c r="AC131" i="1" s="1"/>
  <c r="M71" i="1"/>
  <c r="H71" i="1"/>
  <c r="CK136" i="1"/>
  <c r="CH11" i="1" s="1"/>
  <c r="I31" i="2"/>
  <c r="I16" i="2" s="1"/>
  <c r="T153" i="2"/>
  <c r="CK139" i="1"/>
  <c r="CH13" i="1" s="1"/>
  <c r="CK138" i="1"/>
  <c r="M17" i="2"/>
  <c r="T155" i="2"/>
  <c r="BU32" i="1"/>
  <c r="BU12" i="1"/>
  <c r="AD83" i="1"/>
  <c r="AC82" i="1"/>
  <c r="AE83" i="1"/>
  <c r="AE84" i="1"/>
  <c r="AD82" i="1"/>
  <c r="AB83" i="1"/>
  <c r="CK137" i="1"/>
  <c r="O120" i="2" l="1"/>
  <c r="M81" i="2"/>
  <c r="K129" i="2"/>
  <c r="O150" i="2"/>
  <c r="O112" i="2"/>
  <c r="M129" i="2"/>
  <c r="K106" i="2"/>
  <c r="L106" i="2"/>
  <c r="L129" i="2"/>
  <c r="M106" i="2"/>
  <c r="O63" i="2"/>
  <c r="K81" i="2"/>
  <c r="P33" i="2"/>
  <c r="M46" i="2"/>
  <c r="O96" i="2"/>
  <c r="O88" i="2"/>
  <c r="O71" i="2"/>
  <c r="O53" i="2"/>
  <c r="O49" i="2"/>
  <c r="O43" i="2"/>
  <c r="O56" i="2"/>
  <c r="O75" i="2"/>
  <c r="O37" i="2"/>
  <c r="O33" i="2"/>
  <c r="K195" i="1"/>
  <c r="O44" i="2"/>
  <c r="O100" i="2"/>
  <c r="DN167" i="1"/>
  <c r="BD105" i="1"/>
  <c r="BD111" i="1" s="1"/>
  <c r="BE105" i="1"/>
  <c r="BE111" i="1" s="1"/>
  <c r="CD114" i="1"/>
  <c r="CE114" i="1" s="1"/>
  <c r="BS124" i="1" s="1"/>
  <c r="BT124" i="1" s="1"/>
  <c r="BU124" i="1" s="1"/>
  <c r="BV124" i="1" s="1"/>
  <c r="BW124" i="1" s="1"/>
  <c r="CC114" i="1"/>
  <c r="K46" i="2"/>
  <c r="DH171" i="1"/>
  <c r="O32" i="2"/>
  <c r="O55" i="2"/>
  <c r="AB130" i="1"/>
  <c r="AC130" i="1" s="1"/>
  <c r="O112" i="1"/>
  <c r="L198" i="1"/>
  <c r="M198" i="1" s="1"/>
  <c r="I41" i="1"/>
  <c r="L175" i="1"/>
  <c r="M175" i="1"/>
  <c r="N175" i="1" s="1"/>
  <c r="O138" i="1"/>
  <c r="O119" i="1"/>
  <c r="M164" i="1"/>
  <c r="L172" i="1"/>
  <c r="M172" i="1"/>
  <c r="N172" i="1" s="1"/>
  <c r="O135" i="1"/>
  <c r="L171" i="1"/>
  <c r="M171" i="1"/>
  <c r="N171" i="1" s="1"/>
  <c r="O168" i="1"/>
  <c r="N168" i="1"/>
  <c r="L173" i="1"/>
  <c r="M173" i="1"/>
  <c r="N173" i="1" s="1"/>
  <c r="L176" i="1"/>
  <c r="M176" i="1"/>
  <c r="N176" i="1" s="1"/>
  <c r="O146" i="1"/>
  <c r="L174" i="1"/>
  <c r="M174" i="1"/>
  <c r="N174" i="1" s="1"/>
  <c r="O170" i="1"/>
  <c r="N170" i="1"/>
  <c r="O169" i="1"/>
  <c r="N169" i="1"/>
  <c r="O111" i="1"/>
  <c r="DN212" i="1"/>
  <c r="DN207" i="1"/>
  <c r="AB85" i="1"/>
  <c r="AD84" i="1"/>
  <c r="O126" i="1"/>
  <c r="AD85" i="1"/>
  <c r="AC84" i="1"/>
  <c r="AC87" i="1" s="1"/>
  <c r="AE85" i="1"/>
  <c r="AC85" i="1"/>
  <c r="AC88" i="1" s="1"/>
  <c r="M51" i="2"/>
  <c r="O45" i="2"/>
  <c r="O48" i="2"/>
  <c r="O47" i="2"/>
  <c r="L51" i="2"/>
  <c r="L46" i="2"/>
  <c r="BU28" i="1"/>
  <c r="BU34" i="1" s="1"/>
  <c r="BU24" i="1"/>
  <c r="Q50" i="1"/>
  <c r="K36" i="2"/>
  <c r="K57" i="2" s="1"/>
  <c r="BU8" i="1"/>
  <c r="BU26" i="1" s="1"/>
  <c r="L36" i="2"/>
  <c r="M36" i="2"/>
  <c r="K51" i="2"/>
  <c r="AD87" i="1"/>
  <c r="L167" i="1"/>
  <c r="K183" i="1"/>
  <c r="BT32" i="1"/>
  <c r="BV32" i="1" s="1"/>
  <c r="BT17" i="1"/>
  <c r="H10" i="1"/>
  <c r="BT18" i="1"/>
  <c r="BT35" i="1"/>
  <c r="K167" i="1"/>
  <c r="C27" i="1"/>
  <c r="F27" i="1"/>
  <c r="BT13" i="1"/>
  <c r="O127" i="1"/>
  <c r="AT160" i="1"/>
  <c r="AU160" i="1" s="1"/>
  <c r="AV160" i="1" s="1"/>
  <c r="AW160" i="1" s="1"/>
  <c r="AX160" i="1" s="1"/>
  <c r="AA123" i="1"/>
  <c r="BT28" i="1"/>
  <c r="BT36" i="1"/>
  <c r="BT31" i="1"/>
  <c r="BT10" i="1"/>
  <c r="BV10" i="1" s="1"/>
  <c r="BT24" i="1"/>
  <c r="BT23" i="1"/>
  <c r="BT5" i="1"/>
  <c r="BT6" i="1"/>
  <c r="BV6" i="1" s="1"/>
  <c r="F9" i="1"/>
  <c r="C10" i="1"/>
  <c r="C9" i="1"/>
  <c r="F10" i="1"/>
  <c r="G9" i="1"/>
  <c r="D10" i="1"/>
  <c r="D9" i="1"/>
  <c r="H13" i="1" s="1"/>
  <c r="G10" i="1"/>
  <c r="D27" i="1"/>
  <c r="G27" i="1"/>
  <c r="BT30" i="1"/>
  <c r="O139" i="1"/>
  <c r="W132" i="1"/>
  <c r="BT33" i="1"/>
  <c r="B37" i="1"/>
  <c r="BT16" i="1"/>
  <c r="BV16" i="1" s="1"/>
  <c r="BT15" i="1"/>
  <c r="H9" i="1"/>
  <c r="BT34" i="1"/>
  <c r="E37" i="1"/>
  <c r="K177" i="1"/>
  <c r="BT26" i="1"/>
  <c r="BT29" i="1"/>
  <c r="U158" i="2"/>
  <c r="T160" i="2"/>
  <c r="AF82" i="1"/>
  <c r="AF83" i="1"/>
  <c r="AE87" i="1"/>
  <c r="U155" i="2"/>
  <c r="T156" i="2"/>
  <c r="AD88" i="1"/>
  <c r="CH3" i="1"/>
  <c r="CH5" i="1"/>
  <c r="O74" i="1"/>
  <c r="I42" i="1"/>
  <c r="L199" i="1" s="1"/>
  <c r="M199" i="1" s="1"/>
  <c r="I43" i="1"/>
  <c r="L201" i="1" s="1"/>
  <c r="M201" i="1" s="1"/>
  <c r="I47" i="1"/>
  <c r="BB106" i="1"/>
  <c r="BB105" i="1"/>
  <c r="BU18" i="1"/>
  <c r="BV18" i="1" s="1"/>
  <c r="BU30" i="1"/>
  <c r="BV12" i="1"/>
  <c r="O129" i="2" l="1"/>
  <c r="M57" i="2"/>
  <c r="O81" i="2"/>
  <c r="L57" i="2"/>
  <c r="O57" i="2" s="1"/>
  <c r="O106" i="2"/>
  <c r="P51" i="2"/>
  <c r="O46" i="2"/>
  <c r="P36" i="2"/>
  <c r="BZ124" i="1"/>
  <c r="BY124" i="1"/>
  <c r="L200" i="1"/>
  <c r="M200" i="1" s="1"/>
  <c r="L177" i="1"/>
  <c r="N177" i="1"/>
  <c r="O171" i="1"/>
  <c r="M177" i="1"/>
  <c r="H12" i="1"/>
  <c r="AF84" i="1"/>
  <c r="I46" i="1"/>
  <c r="BV34" i="1"/>
  <c r="AF85" i="1"/>
  <c r="AE88" i="1"/>
  <c r="BV24" i="1"/>
  <c r="P46" i="2"/>
  <c r="BU36" i="1"/>
  <c r="BV36" i="1" s="1"/>
  <c r="BV28" i="1"/>
  <c r="O51" i="2"/>
  <c r="BV26" i="1"/>
  <c r="O36" i="2"/>
  <c r="BT21" i="1"/>
  <c r="BV30" i="1"/>
  <c r="H14" i="1"/>
  <c r="AY160" i="1"/>
  <c r="AZ160" i="1" s="1"/>
  <c r="BB160" i="1" s="1"/>
  <c r="BC160" i="1" s="1"/>
  <c r="BD160" i="1" s="1"/>
  <c r="AB123" i="1"/>
  <c r="G37" i="1"/>
  <c r="BT7" i="1"/>
  <c r="BT8" i="1"/>
  <c r="BV8" i="1" s="1"/>
  <c r="BT25" i="1"/>
  <c r="BT3" i="1"/>
  <c r="BT22" i="1"/>
  <c r="BV22" i="1" s="1"/>
  <c r="H11" i="1"/>
  <c r="C37" i="1"/>
  <c r="BT4" i="1"/>
  <c r="BV4" i="1" s="1"/>
  <c r="CH15" i="1"/>
  <c r="BB108" i="1"/>
  <c r="BB111" i="1" s="1"/>
  <c r="Q51" i="2" l="1"/>
  <c r="P57" i="2"/>
  <c r="CC124" i="1"/>
  <c r="CD124" i="1" s="1"/>
  <c r="CE124" i="1" s="1"/>
  <c r="BE160" i="1"/>
  <c r="BF160" i="1" s="1"/>
  <c r="BG160" i="1" s="1"/>
  <c r="BH160" i="1" s="1"/>
  <c r="BI160" i="1" s="1"/>
  <c r="AC123" i="1"/>
  <c r="BJ160" i="1" s="1"/>
  <c r="Q36" i="2"/>
  <c r="T36" i="2" s="1"/>
  <c r="Q50" i="2"/>
  <c r="Q41" i="2"/>
  <c r="Q46" i="2"/>
  <c r="Q34" i="2"/>
  <c r="T34" i="2" s="1"/>
  <c r="Q47" i="2"/>
  <c r="Q37" i="2"/>
  <c r="Q49" i="2"/>
  <c r="T49" i="2" s="1"/>
  <c r="Q54" i="2"/>
  <c r="Q38" i="2"/>
  <c r="Q53" i="2"/>
  <c r="Q35" i="2"/>
  <c r="Q39" i="2"/>
  <c r="Q40" i="2"/>
  <c r="Q45" i="2"/>
  <c r="Q55" i="2"/>
  <c r="Q44" i="2"/>
  <c r="Q43" i="2"/>
  <c r="Q42" i="2"/>
  <c r="Q48" i="2"/>
  <c r="Q56" i="2"/>
  <c r="Q52" i="2"/>
  <c r="Q33" i="2"/>
  <c r="T47" i="2" l="1"/>
  <c r="T51" i="2"/>
  <c r="FY348" i="1" l="1"/>
  <c r="GF348" i="1" s="1"/>
  <c r="FY347" i="1"/>
  <c r="GF347" i="1" s="1"/>
  <c r="FR353" i="1" l="1"/>
  <c r="FY346" i="1"/>
  <c r="GE346" i="1" l="1"/>
  <c r="GF346" i="1"/>
  <c r="C6" i="2" l="1"/>
  <c r="FY345" i="1" l="1"/>
  <c r="GF345" i="1" s="1"/>
  <c r="FY344" i="1" l="1"/>
  <c r="FR352" i="1"/>
  <c r="GF344" i="1" l="1"/>
  <c r="GE344" i="1"/>
  <c r="EY310" i="1" l="1"/>
  <c r="EY322" i="1"/>
  <c r="EY323" i="1" l="1"/>
  <c r="FA322" i="1" l="1"/>
  <c r="EZ322" i="1" l="1"/>
  <c r="FB322" i="1" l="1"/>
  <c r="FC322" i="1" l="1"/>
  <c r="FD322" i="1" l="1"/>
  <c r="FE322" i="1" l="1"/>
  <c r="FF322" i="1" l="1"/>
  <c r="FH322" i="1" l="1"/>
  <c r="FG322" i="1"/>
  <c r="EY328" i="1" l="1"/>
  <c r="FA328" i="1" l="1"/>
  <c r="EZ328" i="1"/>
  <c r="FC328" i="1" l="1"/>
  <c r="FB328" i="1"/>
  <c r="FD328" i="1" l="1"/>
  <c r="FE328" i="1" l="1"/>
  <c r="FF328" i="1" l="1"/>
  <c r="FG328" i="1" l="1"/>
  <c r="EY334" i="1" l="1"/>
  <c r="FH328" i="1"/>
  <c r="EZ334" i="1" l="1"/>
  <c r="FA334" i="1" l="1"/>
  <c r="FC334" i="1" l="1"/>
  <c r="FB334" i="1"/>
  <c r="FD334" i="1" l="1"/>
  <c r="FF334" i="1" l="1"/>
  <c r="FE334" i="1"/>
  <c r="FG334" i="1" l="1"/>
  <c r="FO315" i="1"/>
  <c r="FH334" i="1" l="1"/>
  <c r="FN315" i="1"/>
  <c r="FO316" i="1" l="1"/>
  <c r="F24" i="2" l="1"/>
  <c r="F18" i="2"/>
  <c r="F20" i="2"/>
  <c r="F26" i="2"/>
  <c r="F16" i="2"/>
  <c r="F25" i="2"/>
  <c r="F27" i="2"/>
  <c r="F17" i="2"/>
  <c r="F21" i="2"/>
  <c r="F19" i="2"/>
  <c r="F23" i="2"/>
  <c r="F29" i="2" l="1"/>
  <c r="E18" i="2" l="1"/>
  <c r="H34" i="2"/>
  <c r="H18" i="2" s="1"/>
  <c r="H32" i="2"/>
  <c r="H17" i="2" s="1"/>
  <c r="E17" i="2"/>
  <c r="E21" i="2"/>
  <c r="H44" i="2"/>
  <c r="H21" i="2" s="1"/>
  <c r="I44" i="2"/>
  <c r="I21" i="2" s="1"/>
  <c r="H46" i="2"/>
  <c r="H23" i="2" s="1"/>
  <c r="E23" i="2"/>
  <c r="H31" i="2"/>
  <c r="H16" i="2" s="1"/>
  <c r="E16" i="2"/>
  <c r="E27" i="2"/>
  <c r="H52" i="2"/>
  <c r="H27" i="2" s="1"/>
  <c r="I52" i="2"/>
  <c r="I27" i="2" s="1"/>
  <c r="H49" i="2"/>
  <c r="H24" i="2" s="1"/>
  <c r="E24" i="2"/>
  <c r="H50" i="2"/>
  <c r="H25" i="2" s="1"/>
  <c r="E25" i="2"/>
  <c r="E20" i="2"/>
  <c r="H37" i="2"/>
  <c r="H20" i="2" s="1"/>
  <c r="I37" i="2"/>
  <c r="I20" i="2" s="1"/>
  <c r="H51" i="2"/>
  <c r="H26" i="2" s="1"/>
  <c r="E26" i="2"/>
  <c r="E22" i="2"/>
  <c r="H45" i="2"/>
  <c r="H22" i="2" s="1"/>
  <c r="H36" i="2"/>
  <c r="H19" i="2" s="1"/>
  <c r="E19" i="2"/>
  <c r="I36" i="2" l="1"/>
  <c r="I19" i="2" s="1"/>
  <c r="I45" i="2"/>
  <c r="I22" i="2" s="1"/>
  <c r="E29" i="2"/>
  <c r="K23" i="2" s="1"/>
  <c r="I51" i="2"/>
  <c r="I26" i="2" s="1"/>
  <c r="I49" i="2"/>
  <c r="I24" i="2" s="1"/>
  <c r="K27" i="2" l="1"/>
  <c r="O27" i="2" s="1"/>
  <c r="K16" i="2"/>
  <c r="O16" i="2" s="1"/>
  <c r="K17" i="2"/>
  <c r="O17" i="2" s="1"/>
  <c r="K20" i="2"/>
  <c r="O20" i="2" s="1"/>
  <c r="I29" i="2"/>
  <c r="K21" i="2"/>
  <c r="O21" i="2" s="1"/>
  <c r="K26" i="2"/>
  <c r="O26" i="2" s="1"/>
  <c r="K18" i="2"/>
  <c r="O18" i="2" s="1"/>
  <c r="K22" i="2"/>
  <c r="O22" i="2" s="1"/>
  <c r="K19" i="2"/>
  <c r="O19" i="2" s="1"/>
  <c r="L16" i="2"/>
  <c r="L19" i="2"/>
  <c r="O23" i="2"/>
  <c r="L23" i="2"/>
  <c r="K24" i="2"/>
  <c r="K25" i="2"/>
  <c r="L17" i="2" l="1"/>
  <c r="L20" i="2"/>
  <c r="L22" i="2"/>
  <c r="L27" i="2"/>
  <c r="L26" i="2"/>
  <c r="L21" i="2"/>
  <c r="L18" i="2"/>
  <c r="L25" i="2"/>
  <c r="O25" i="2"/>
  <c r="L24" i="2"/>
  <c r="O24" i="2"/>
  <c r="O29" i="2" l="1"/>
  <c r="L29" i="2"/>
  <c r="C10" i="2" l="1"/>
  <c r="C8" i="2"/>
  <c r="C7" i="2"/>
  <c r="C5" i="2"/>
  <c r="C3" i="2"/>
  <c r="F56" i="2" l="1"/>
  <c r="C4" i="2"/>
  <c r="C9" i="2"/>
  <c r="C11" i="2" l="1"/>
  <c r="C12" i="2"/>
  <c r="C13" i="2" l="1"/>
  <c r="EY335" i="1" l="1"/>
  <c r="FK317" i="1" l="1"/>
  <c r="EZ321" i="1"/>
  <c r="FD327" i="1"/>
  <c r="EY317" i="1"/>
  <c r="EY327" i="1"/>
  <c r="FI310" i="1"/>
  <c r="EZ333" i="1"/>
  <c r="FE317" i="1"/>
  <c r="FG333" i="1"/>
  <c r="FL317" i="1"/>
  <c r="EZ327" i="1"/>
  <c r="FJ310" i="1"/>
  <c r="FF333" i="1"/>
  <c r="FG321" i="1"/>
  <c r="FG310" i="1"/>
  <c r="FB327" i="1"/>
  <c r="FL310" i="1"/>
  <c r="FD333" i="1"/>
  <c r="FI317" i="1"/>
  <c r="FH335" i="1"/>
  <c r="FB333" i="1"/>
  <c r="FG317" i="1"/>
  <c r="FF327" i="1"/>
  <c r="FA317" i="1"/>
  <c r="FF323" i="1"/>
  <c r="FA329" i="1"/>
  <c r="FG335" i="1"/>
  <c r="FH323" i="1"/>
  <c r="FD329" i="1"/>
  <c r="EY329" i="1"/>
  <c r="FG329" i="1"/>
  <c r="FC329" i="1"/>
  <c r="EZ329" i="1"/>
  <c r="FG323" i="1"/>
  <c r="FE329" i="1"/>
  <c r="FH329" i="1"/>
  <c r="EZ335" i="1"/>
  <c r="FE335" i="1"/>
  <c r="FE323" i="1"/>
  <c r="FB323" i="1"/>
  <c r="FA335" i="1"/>
  <c r="FD335" i="1"/>
  <c r="FB329" i="1"/>
  <c r="FF335" i="1"/>
  <c r="FC335" i="1"/>
  <c r="FB335" i="1"/>
  <c r="FA323" i="1"/>
  <c r="EY333" i="1" l="1"/>
  <c r="FD317" i="1"/>
  <c r="FH327" i="1"/>
  <c r="FC317" i="1"/>
  <c r="FH321" i="1"/>
  <c r="FH310" i="1"/>
  <c r="FA327" i="1"/>
  <c r="FK310" i="1"/>
  <c r="FA321" i="1"/>
  <c r="FA310" i="1"/>
  <c r="FE333" i="1"/>
  <c r="FJ317" i="1"/>
  <c r="FE327" i="1"/>
  <c r="EZ317" i="1"/>
  <c r="FA333" i="1"/>
  <c r="FF317" i="1"/>
  <c r="FC321" i="1"/>
  <c r="FC310" i="1"/>
  <c r="FF321" i="1"/>
  <c r="FF310" i="1"/>
  <c r="FD321" i="1"/>
  <c r="FD310" i="1"/>
  <c r="FE321" i="1"/>
  <c r="FE310" i="1"/>
  <c r="FG327" i="1"/>
  <c r="FB317" i="1"/>
  <c r="FH333" i="1"/>
  <c r="FM317" i="1"/>
  <c r="FC327" i="1"/>
  <c r="FM310" i="1"/>
  <c r="FN314" i="1"/>
  <c r="FC333" i="1"/>
  <c r="FH317" i="1"/>
  <c r="FB321" i="1"/>
  <c r="FB310" i="1"/>
  <c r="FF329" i="1"/>
  <c r="FD323" i="1"/>
  <c r="FC323" i="1"/>
  <c r="BP230" i="2" l="1"/>
  <c r="BK230" i="2" l="1"/>
  <c r="BV115" i="1"/>
  <c r="CD115" i="1"/>
  <c r="BS115" i="1"/>
  <c r="CC115" i="1"/>
  <c r="BV105" i="1"/>
  <c r="CC125" i="1"/>
  <c r="BZ125" i="1"/>
  <c r="CE105" i="1"/>
  <c r="BY125" i="1"/>
  <c r="BT115" i="1"/>
  <c r="BW125" i="1"/>
  <c r="BS105" i="1"/>
  <c r="CC126" i="1"/>
  <c r="BT116" i="1"/>
  <c r="BZ126" i="1"/>
  <c r="BT125" i="1"/>
  <c r="CD116" i="1"/>
  <c r="BV116" i="1"/>
  <c r="BT105" i="1"/>
  <c r="BS125" i="1"/>
  <c r="CE125" i="1" l="1"/>
  <c r="BW105" i="1"/>
  <c r="BG126" i="1"/>
  <c r="BF116" i="1"/>
  <c r="BV106" i="1"/>
  <c r="BI109" i="1"/>
  <c r="BI126" i="1"/>
  <c r="BK115" i="1"/>
  <c r="BN106" i="1"/>
  <c r="BG125" i="1"/>
  <c r="BF119" i="1"/>
  <c r="BT126" i="1"/>
  <c r="BS116" i="1"/>
  <c r="BU106" i="1"/>
  <c r="CE106" i="1"/>
  <c r="CE126" i="1"/>
  <c r="CC116" i="1"/>
  <c r="BB128" i="1"/>
  <c r="BW115" i="1"/>
  <c r="BM118" i="1"/>
  <c r="BZ105" i="1"/>
  <c r="BH126" i="1"/>
  <c r="BL108" i="1"/>
  <c r="BL119" i="1"/>
  <c r="BI110" i="1"/>
  <c r="BN120" i="1"/>
  <c r="BM119" i="1"/>
  <c r="BK119" i="1"/>
  <c r="BK126" i="1"/>
  <c r="BL125" i="1"/>
  <c r="BI105" i="1"/>
  <c r="BJ105" i="1"/>
  <c r="BH105" i="1"/>
  <c r="BB119" i="1"/>
  <c r="BI125" i="1"/>
  <c r="BO115" i="1"/>
  <c r="BN116" i="1"/>
  <c r="BB116" i="1"/>
  <c r="BF115" i="1"/>
  <c r="BM105" i="1"/>
  <c r="BM125" i="1"/>
  <c r="BJ125" i="1"/>
  <c r="BG105" i="1"/>
  <c r="BH116" i="1"/>
  <c r="BM106" i="1"/>
  <c r="BH106" i="1"/>
  <c r="BM126" i="1"/>
  <c r="BL126" i="1"/>
  <c r="BI116" i="1"/>
  <c r="BK116" i="1"/>
  <c r="BB125" i="1"/>
  <c r="BM115" i="1"/>
  <c r="BN115" i="1"/>
  <c r="BH115" i="1"/>
  <c r="BL128" i="1"/>
  <c r="BH108" i="1"/>
  <c r="BL130" i="1"/>
  <c r="BB118" i="1"/>
  <c r="BF120" i="1" l="1"/>
  <c r="BZ115" i="1"/>
  <c r="CD125" i="1"/>
  <c r="BL118" i="1"/>
  <c r="BU125" i="1"/>
  <c r="BY115" i="1"/>
  <c r="BU105" i="1"/>
  <c r="CC105" i="1"/>
  <c r="CE115" i="1"/>
  <c r="BV125" i="1"/>
  <c r="CD105" i="1"/>
  <c r="BY116" i="1"/>
  <c r="BW126" i="1"/>
  <c r="BO116" i="1"/>
  <c r="BA126" i="1" s="1"/>
  <c r="CD126" i="1"/>
  <c r="BB115" i="1"/>
  <c r="BT106" i="1"/>
  <c r="BJ106" i="1"/>
  <c r="BB126" i="1"/>
  <c r="CD106" i="1"/>
  <c r="BA125" i="1"/>
  <c r="BN105" i="1"/>
  <c r="CE116" i="1"/>
  <c r="BJ126" i="1"/>
  <c r="BB120" i="1"/>
  <c r="BU126" i="1"/>
  <c r="BL120" i="1"/>
  <c r="BS106" i="1"/>
  <c r="BM120" i="1"/>
  <c r="BS126" i="1"/>
  <c r="BW116" i="1"/>
  <c r="BF118" i="1"/>
  <c r="BF121" i="1" s="1"/>
  <c r="BM116" i="1"/>
  <c r="BM121" i="1" s="1"/>
  <c r="BK125" i="1"/>
  <c r="BI115" i="1"/>
  <c r="BZ106" i="1"/>
  <c r="BG106" i="1"/>
  <c r="BU116" i="1"/>
  <c r="BH125" i="1"/>
  <c r="BY126" i="1"/>
  <c r="BW106" i="1"/>
  <c r="BK120" i="1"/>
  <c r="BV126" i="1"/>
  <c r="BL105" i="1"/>
  <c r="BZ116" i="1"/>
  <c r="BH109" i="1"/>
  <c r="BI106" i="1"/>
  <c r="BL129" i="1"/>
  <c r="BL131" i="1" s="1"/>
  <c r="BJ118" i="1"/>
  <c r="BK118" i="1"/>
  <c r="BL106" i="1"/>
  <c r="BN119" i="1"/>
  <c r="BK128" i="1"/>
  <c r="BK130" i="1"/>
  <c r="BK129" i="1"/>
  <c r="BJ130" i="1"/>
  <c r="BJ129" i="1"/>
  <c r="BM130" i="1"/>
  <c r="BM129" i="1"/>
  <c r="BF128" i="1"/>
  <c r="BG110" i="1"/>
  <c r="BG109" i="1"/>
  <c r="BO106" i="1"/>
  <c r="BF129" i="1"/>
  <c r="BF130" i="1"/>
  <c r="BG108" i="1"/>
  <c r="BF108" i="1"/>
  <c r="BF125" i="1"/>
  <c r="BF126" i="1"/>
  <c r="BL115" i="1"/>
  <c r="BL116" i="1"/>
  <c r="BH118" i="1"/>
  <c r="BO110" i="1"/>
  <c r="BO109" i="1"/>
  <c r="BH119" i="1"/>
  <c r="BH120" i="1"/>
  <c r="BO108" i="1"/>
  <c r="BF105" i="1"/>
  <c r="BO105" i="1"/>
  <c r="BO111" i="1" s="1"/>
  <c r="BF106" i="1"/>
  <c r="BJ128" i="1"/>
  <c r="BM128" i="1"/>
  <c r="BM131" i="1" s="1"/>
  <c r="BL109" i="1"/>
  <c r="BL110" i="1"/>
  <c r="BB129" i="1"/>
  <c r="BB131" i="1" s="1"/>
  <c r="BB130" i="1"/>
  <c r="BL121" i="1" l="1"/>
  <c r="BG111" i="1"/>
  <c r="BH121" i="1"/>
  <c r="BU115" i="1"/>
  <c r="BK121" i="1"/>
  <c r="BN118" i="1"/>
  <c r="BN121" i="1" s="1"/>
  <c r="BY105" i="1"/>
  <c r="BJ131" i="1"/>
  <c r="BI111" i="1"/>
  <c r="CC106" i="1"/>
  <c r="BO119" i="1"/>
  <c r="BA129" i="1" s="1"/>
  <c r="BC131" i="1"/>
  <c r="BF131" i="1"/>
  <c r="BH110" i="1"/>
  <c r="BH111" i="1" s="1"/>
  <c r="BB121" i="1"/>
  <c r="BK131" i="1"/>
  <c r="BJ109" i="1"/>
  <c r="BI108" i="1"/>
  <c r="BL111" i="1"/>
  <c r="BY106" i="1"/>
  <c r="BH129" i="1"/>
  <c r="BH130" i="1"/>
  <c r="BJ120" i="1"/>
  <c r="BJ119" i="1"/>
  <c r="BH128" i="1"/>
  <c r="BJ115" i="1"/>
  <c r="BJ116" i="1"/>
  <c r="BN108" i="1"/>
  <c r="BF109" i="1"/>
  <c r="BI128" i="1"/>
  <c r="BF110" i="1"/>
  <c r="BI129" i="1"/>
  <c r="BI130" i="1"/>
  <c r="BN109" i="1"/>
  <c r="BN110" i="1"/>
  <c r="BG129" i="1"/>
  <c r="BG130" i="1"/>
  <c r="BM108" i="1"/>
  <c r="BM109" i="1"/>
  <c r="BM110" i="1"/>
  <c r="BG128" i="1"/>
  <c r="BG115" i="1"/>
  <c r="BG116" i="1"/>
  <c r="BI118" i="1"/>
  <c r="BI120" i="1"/>
  <c r="BI119" i="1"/>
  <c r="BG119" i="1"/>
  <c r="BG120" i="1"/>
  <c r="BK105" i="1"/>
  <c r="BK106" i="1"/>
  <c r="BK110" i="1"/>
  <c r="BK109" i="1"/>
  <c r="BK108" i="1"/>
  <c r="BG118" i="1"/>
  <c r="BI121" i="1" l="1"/>
  <c r="BE131" i="1"/>
  <c r="BN111" i="1"/>
  <c r="BF111" i="1"/>
  <c r="BJ121" i="1"/>
  <c r="BJ110" i="1"/>
  <c r="BG131" i="1"/>
  <c r="BH131" i="1"/>
  <c r="BO120" i="1"/>
  <c r="BA130" i="1" s="1"/>
  <c r="BM111" i="1"/>
  <c r="BI131" i="1"/>
  <c r="BK111" i="1"/>
  <c r="BG121" i="1"/>
  <c r="BO118" i="1"/>
  <c r="BJ108" i="1"/>
  <c r="BJ111" i="1" s="1"/>
  <c r="BD131" i="1"/>
  <c r="BA128" i="1" l="1"/>
  <c r="BO121" i="1"/>
  <c r="BA131" i="1" s="1"/>
  <c r="DJ220" i="1" l="1"/>
  <c r="DJ171" i="1" l="1"/>
  <c r="EZ306" i="1" l="1"/>
  <c r="EZ320" i="1" l="1"/>
  <c r="FN313" i="1"/>
  <c r="EZ310" i="1"/>
  <c r="EZ309" i="1" l="1"/>
  <c r="EZ323" i="1" l="1"/>
  <c r="FN316" i="1"/>
  <c r="CG259" i="2" l="1"/>
  <c r="CG261" i="2" l="1"/>
  <c r="CG258" i="2" l="1"/>
  <c r="CG260" i="2" l="1"/>
  <c r="CH263" i="2" s="1"/>
  <c r="CG263" i="2" l="1"/>
  <c r="BP232" i="2" l="1"/>
  <c r="BP231" i="2"/>
  <c r="AB163" i="2"/>
  <c r="AB162" i="2"/>
  <c r="AB164" i="2"/>
  <c r="W164" i="2"/>
  <c r="AB165" i="2"/>
  <c r="AB166" i="2"/>
  <c r="W166" i="2"/>
  <c r="W165" i="2"/>
  <c r="BN232" i="2" l="1"/>
  <c r="W163" i="2"/>
  <c r="W162" i="2"/>
  <c r="BO232" i="2"/>
  <c r="CB252" i="2"/>
  <c r="BJ224" i="2" l="1"/>
  <c r="BK233" i="2"/>
  <c r="BI233" i="2"/>
  <c r="BI224" i="2"/>
  <c r="BJ233" i="2"/>
  <c r="CC254" i="2"/>
  <c r="AO168" i="2" l="1"/>
  <c r="AO163" i="2"/>
  <c r="AC163" i="2"/>
  <c r="AC168" i="2"/>
  <c r="AO166" i="2"/>
  <c r="AO171" i="2"/>
  <c r="AK167" i="2"/>
  <c r="AK162" i="2"/>
  <c r="AK171" i="2"/>
  <c r="AK166" i="2"/>
  <c r="AG171" i="2"/>
  <c r="AG166" i="2"/>
  <c r="AG164" i="2"/>
  <c r="AK164" i="2" s="1"/>
  <c r="AO164" i="2" s="1"/>
  <c r="AC164" i="2"/>
  <c r="X164" i="2"/>
  <c r="AK168" i="2"/>
  <c r="AK163" i="2"/>
  <c r="AC165" i="2"/>
  <c r="AC170" i="2"/>
  <c r="AG169" i="2"/>
  <c r="AK169" i="2" s="1"/>
  <c r="AO169" i="2" s="1"/>
  <c r="AC169" i="2"/>
  <c r="X169" i="2"/>
  <c r="AC167" i="2"/>
  <c r="AC162" i="2"/>
  <c r="AO170" i="2"/>
  <c r="AO165" i="2"/>
  <c r="AO167" i="2"/>
  <c r="AO162" i="2"/>
  <c r="AC166" i="2"/>
  <c r="AC171" i="2"/>
  <c r="AG167" i="2"/>
  <c r="AG162" i="2"/>
  <c r="X171" i="2"/>
  <c r="X166" i="2"/>
  <c r="BK232" i="2"/>
  <c r="BK231" i="2"/>
  <c r="AK165" i="2"/>
  <c r="AK170" i="2"/>
  <c r="X162" i="2"/>
  <c r="X167" i="2"/>
  <c r="CG266" i="2"/>
  <c r="CG265" i="2"/>
  <c r="CH266" i="2" s="1"/>
  <c r="CC253" i="2"/>
  <c r="CG267" i="2"/>
  <c r="AG163" i="2" l="1"/>
  <c r="BI223" i="2"/>
  <c r="BJ223" i="2"/>
  <c r="AG165" i="2"/>
  <c r="X163" i="2"/>
  <c r="BJ232" i="2"/>
  <c r="BJ231" i="2"/>
  <c r="X168" i="2"/>
  <c r="BJ222" i="2"/>
  <c r="AG170" i="2"/>
  <c r="X170" i="2"/>
  <c r="BI231" i="2"/>
  <c r="BI232" i="2"/>
  <c r="X165" i="2"/>
  <c r="BI222" i="2"/>
  <c r="AG168" i="2"/>
  <c r="CG269" i="2"/>
  <c r="CC25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Havlíková Ivana Ing.</author>
  </authors>
  <commentList>
    <comment ref="DF16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posunuto do předposledního roku (z důvodu zůstatkové hodnoty)
</t>
        </r>
      </text>
    </comment>
    <comment ref="DD16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Havlíková Ivana Ing.:
</t>
        </r>
        <r>
          <rPr>
            <sz val="9"/>
            <color indexed="81"/>
            <rFont val="Tahoma"/>
            <family val="2"/>
            <charset val="238"/>
          </rPr>
          <t>posunuto do předposledního roku (z důvodu zůstatkové hodnoty)</t>
        </r>
      </text>
    </comment>
    <comment ref="DH175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Havlíková Ivana Ing.:</t>
        </r>
        <r>
          <rPr>
            <sz val="9"/>
            <color indexed="81"/>
            <rFont val="Tahoma"/>
            <charset val="1"/>
          </rPr>
          <t xml:space="preserve">
procento s nákladů na budoucí celkovou obnovu, tzn. reinvestice v dlouhodobém výhledu)</t>
        </r>
      </text>
    </comment>
    <comment ref="DB17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možná bude třeba ještě upravit</t>
        </r>
      </text>
    </comment>
    <comment ref="DF178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Havlíková Ivana Ing.:</t>
        </r>
        <r>
          <rPr>
            <sz val="9"/>
            <color indexed="81"/>
            <rFont val="Tahoma"/>
            <charset val="1"/>
          </rPr>
          <t xml:space="preserve">
nebude rok 2027?</t>
        </r>
      </text>
    </comment>
    <comment ref="DD185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bude?</t>
        </r>
      </text>
    </comment>
    <comment ref="FV339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dle DT</t>
        </r>
      </text>
    </comment>
    <comment ref="FV341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dle DT</t>
        </r>
      </text>
    </comment>
    <comment ref="GB341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dle DT</t>
        </r>
      </text>
    </comment>
    <comment ref="FV342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Dle DT = 62,5 - zaokrouhleno na celé tuny</t>
        </r>
      </text>
    </comment>
    <comment ref="FV34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Havlíková Ivana Ing.:</t>
        </r>
        <r>
          <rPr>
            <sz val="9"/>
            <color indexed="81"/>
            <rFont val="Tahoma"/>
            <family val="2"/>
            <charset val="238"/>
          </rPr>
          <t xml:space="preserve">
dle DT = 254,5 t - zaokrouhleno na celé tuny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Dominik Žďánský</author>
  </authors>
  <commentList>
    <comment ref="B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DPH se mění v čase a hodnocení. V případě potřeby se může DPH měnit dle skutečnosti a potřeby.
</t>
        </r>
      </text>
    </comment>
  </commentList>
</comments>
</file>

<file path=xl/sharedStrings.xml><?xml version="1.0" encoding="utf-8"?>
<sst xmlns="http://schemas.openxmlformats.org/spreadsheetml/2006/main" count="1994" uniqueCount="940">
  <si>
    <t>Doprava</t>
  </si>
  <si>
    <t>Směr</t>
  </si>
  <si>
    <t>Celkem</t>
  </si>
  <si>
    <t>Celkem osob</t>
  </si>
  <si>
    <t>Nákladní doprava</t>
  </si>
  <si>
    <t>Vývoj inflace v ČR dle ČSÚ a použité inflační koeficienty pro jednotlivé roky</t>
  </si>
  <si>
    <t>Rok</t>
  </si>
  <si>
    <t>Inflace</t>
  </si>
  <si>
    <t>HDP na hlavu</t>
  </si>
  <si>
    <t>Traťový úsek</t>
  </si>
  <si>
    <t>Položka</t>
  </si>
  <si>
    <t>Krátká dojížďka</t>
  </si>
  <si>
    <t>Pracovní čas</t>
  </si>
  <si>
    <t xml:space="preserve">Propočet hodnoty času dle jednotlivých typů cest </t>
  </si>
  <si>
    <t xml:space="preserve">Hodnota uspořené osobohodiny v místní dopravě     </t>
  </si>
  <si>
    <t xml:space="preserve">Hodnota uspořené osobohodiny v dálkové dopravě </t>
  </si>
  <si>
    <t>Dlouhá dojížďka</t>
  </si>
  <si>
    <t>Vývoj HDP</t>
  </si>
  <si>
    <t>Druh dopravy</t>
  </si>
  <si>
    <t>nákladní</t>
  </si>
  <si>
    <t>osobní</t>
  </si>
  <si>
    <t>vlkm</t>
  </si>
  <si>
    <t>hrtkm</t>
  </si>
  <si>
    <t>poplatek za DC [Kč]</t>
  </si>
  <si>
    <t>Měrný náklad [Kč/osobohod] (CÚ2012)</t>
  </si>
  <si>
    <t>Podíl na celkovém výsledku [%]</t>
  </si>
  <si>
    <t>2020-2029</t>
  </si>
  <si>
    <t>Ukazatel</t>
  </si>
  <si>
    <t>Symbol</t>
  </si>
  <si>
    <t>Finanční analýza</t>
  </si>
  <si>
    <t>Ekonomická analýza</t>
  </si>
  <si>
    <t>Čistá současná hodnota</t>
  </si>
  <si>
    <t>Poměr přínosu a nákladů</t>
  </si>
  <si>
    <t>IRR</t>
  </si>
  <si>
    <t>Vnitřní výnosové procento</t>
  </si>
  <si>
    <t>BCR</t>
  </si>
  <si>
    <t>NPV (tis.Kč)</t>
  </si>
  <si>
    <t>Změna v %</t>
  </si>
  <si>
    <t>Investiční náklady</t>
  </si>
  <si>
    <t>Časová úspora</t>
  </si>
  <si>
    <t>Údržba a opravy</t>
  </si>
  <si>
    <t>Celkové příjmy</t>
  </si>
  <si>
    <t>Zůstatková hodnota</t>
  </si>
  <si>
    <t>Celkové náklady</t>
  </si>
  <si>
    <t>Diskontní sazba</t>
  </si>
  <si>
    <t>Diskontní cash flow</t>
  </si>
  <si>
    <t>Dělení nákladů</t>
  </si>
  <si>
    <t>Průměr</t>
  </si>
  <si>
    <t>Společné náklady</t>
  </si>
  <si>
    <t>Traťové hospodářství</t>
  </si>
  <si>
    <t>Elektrotechnická zařízení</t>
  </si>
  <si>
    <t>Přípravná a projektová dokumentace</t>
  </si>
  <si>
    <t>Zábory a nákupy pozemků</t>
  </si>
  <si>
    <t>Stavby a konstrukce (stavební náklady)</t>
  </si>
  <si>
    <t>Stroje a zařízení</t>
  </si>
  <si>
    <t>Technická asistence, propagace</t>
  </si>
  <si>
    <t>Technický dozor</t>
  </si>
  <si>
    <t>Rezerva</t>
  </si>
  <si>
    <t>Popis</t>
  </si>
  <si>
    <t>Náklady [tis. Kč]</t>
  </si>
  <si>
    <t>CIN bez rezervy  (konstantní ceny)</t>
  </si>
  <si>
    <t>CIN včetně rezervy (konstantní ceny)</t>
  </si>
  <si>
    <t>Celkem včetně DPH (konstantní ceny)</t>
  </si>
  <si>
    <t>Zabezpečovací zařízení</t>
  </si>
  <si>
    <t>Sdělovací zařízení</t>
  </si>
  <si>
    <t>Silnoproudé rozvody a zařízení</t>
  </si>
  <si>
    <t>Trakce</t>
  </si>
  <si>
    <t>Pozemky</t>
  </si>
  <si>
    <t>Odpisová sazba</t>
  </si>
  <si>
    <t>5,00%</t>
  </si>
  <si>
    <t>6,00%</t>
  </si>
  <si>
    <t>3,60%</t>
  </si>
  <si>
    <t>2,00%</t>
  </si>
  <si>
    <t>3,30%</t>
  </si>
  <si>
    <t>Struktura stavby</t>
  </si>
  <si>
    <t>Pořizovací náklady [tis. Kč]</t>
  </si>
  <si>
    <t>Zůstatková hodnota [tis. Kč]</t>
  </si>
  <si>
    <t>Mosty</t>
  </si>
  <si>
    <t xml:space="preserve"> -železniční svršek</t>
  </si>
  <si>
    <t xml:space="preserve"> -železniční spodek</t>
  </si>
  <si>
    <t>Stavební náklady [tis. Kč]</t>
  </si>
  <si>
    <t>Náklady na provoz vlaků</t>
  </si>
  <si>
    <t>CÚ</t>
  </si>
  <si>
    <t>Měrné ohodnocení</t>
  </si>
  <si>
    <t>Kč/vlhod</t>
  </si>
  <si>
    <t>PROJEKT</t>
  </si>
  <si>
    <t>osobní příměstská doprava</t>
  </si>
  <si>
    <t>osobní dálková doprava</t>
  </si>
  <si>
    <t>nákladní regionální doprava</t>
  </si>
  <si>
    <t>nákladní dálková doprava</t>
  </si>
  <si>
    <t>BEZ
PROJ.</t>
  </si>
  <si>
    <t>Číslo PS, SO</t>
  </si>
  <si>
    <t>Název provozních souborů a stavebních objektů v projektu</t>
  </si>
  <si>
    <t>majetek</t>
  </si>
  <si>
    <t>růst reálné mzdy v dopravě</t>
  </si>
  <si>
    <t>rok</t>
  </si>
  <si>
    <t>časová ztráta při výstavbě [min]</t>
  </si>
  <si>
    <t>časová ztráta při plánovaných opravách [min]</t>
  </si>
  <si>
    <t>Vliv času při realizaci stavby bez projektu</t>
  </si>
  <si>
    <t>časová ztráta vzhledem ke stavu NK [min]</t>
  </si>
  <si>
    <t>Vliv času ve stavu s projektem</t>
  </si>
  <si>
    <t>časová úspora vlivem odstranění pomalých jízd [min]</t>
  </si>
  <si>
    <t>10-12 2015</t>
  </si>
  <si>
    <t>2018-2033</t>
  </si>
  <si>
    <t>2016-2018</t>
  </si>
  <si>
    <t>2015-2018</t>
  </si>
  <si>
    <t>2019-2033</t>
  </si>
  <si>
    <t>2016-2019</t>
  </si>
  <si>
    <t>ENPV (tis. Kč)</t>
  </si>
  <si>
    <t xml:space="preserve">EIRR </t>
  </si>
  <si>
    <t xml:space="preserve">FIRR </t>
  </si>
  <si>
    <t>FNPV (tis. Kč)</t>
  </si>
  <si>
    <t>Výsledky analýzy citlivosti pro ekonomickou analýzu</t>
  </si>
  <si>
    <t>Výsledky analýzy citlivosti pro finanční analýzu</t>
  </si>
  <si>
    <t xml:space="preserve"> -zimní podmínky</t>
  </si>
  <si>
    <t xml:space="preserve"> -výstroj trati</t>
  </si>
  <si>
    <t xml:space="preserve"> -ošetřování porostů</t>
  </si>
  <si>
    <t>poměr společných nákladů</t>
  </si>
  <si>
    <t>Roční odpis [tis. Kč]</t>
  </si>
  <si>
    <t>Průměrná odpisová sazba</t>
  </si>
  <si>
    <t>Průměrná doba ekonomické životnosti</t>
  </si>
  <si>
    <t>2030-2045</t>
  </si>
  <si>
    <t>-</t>
  </si>
  <si>
    <t>Ostatní - krátká vzdálenost</t>
  </si>
  <si>
    <t>Ostatní - dlouhá vzdálenost</t>
  </si>
  <si>
    <t>nákladní doprava</t>
  </si>
  <si>
    <t>Měrný náklad [Kč/osobohod] (CÚ2016)</t>
  </si>
  <si>
    <t>Měrný náklad [Kč/thod] (CÚ2012)</t>
  </si>
  <si>
    <t>Měrný náklad [Kč/thod] (CÚ2016)</t>
  </si>
  <si>
    <t>Ekonomická analýza (CZK tis. Kč)</t>
  </si>
  <si>
    <t>Současná a prognózovaná poptávka po nákladní dopravě [hrt]</t>
  </si>
  <si>
    <t>O</t>
  </si>
  <si>
    <t>A</t>
  </si>
  <si>
    <t>AK</t>
  </si>
  <si>
    <t>LN</t>
  </si>
  <si>
    <t>SN+SNP</t>
  </si>
  <si>
    <t>TN+TNP</t>
  </si>
  <si>
    <t>NSN</t>
  </si>
  <si>
    <t>typy vozidel v počtech kusů</t>
  </si>
  <si>
    <t>Současný a prognozóvaný rozsah dopravy v řešeném úseku trati - počet vlaků za rok</t>
  </si>
  <si>
    <t>Současná a prognózovaná poptávka po osobní dopravě - počet cestujících za rok</t>
  </si>
  <si>
    <t>Délka úseku [km]</t>
  </si>
  <si>
    <t>NEMAZAT</t>
  </si>
  <si>
    <t xml:space="preserve"> -sdělovací a informační zařízení</t>
  </si>
  <si>
    <t xml:space="preserve"> -silnoproud</t>
  </si>
  <si>
    <t>km</t>
  </si>
  <si>
    <t>potřebný čas</t>
  </si>
  <si>
    <t>hod</t>
  </si>
  <si>
    <t>Celkem nákladní</t>
  </si>
  <si>
    <t>Druh vlaku</t>
  </si>
  <si>
    <t>Sudý směr</t>
  </si>
  <si>
    <t>Lichý směr</t>
  </si>
  <si>
    <t>Sp</t>
  </si>
  <si>
    <t>Os</t>
  </si>
  <si>
    <t>Regionální doprava - vlaky Os, Sp</t>
  </si>
  <si>
    <t>Z Brna</t>
  </si>
  <si>
    <t>Trať 240</t>
  </si>
  <si>
    <t>Trať 244</t>
  </si>
  <si>
    <t>Trať 250</t>
  </si>
  <si>
    <t>Trať 300</t>
  </si>
  <si>
    <t>Trať 340</t>
  </si>
  <si>
    <t>PD</t>
  </si>
  <si>
    <t>So</t>
  </si>
  <si>
    <t>Ne</t>
  </si>
  <si>
    <t>Do Brna</t>
  </si>
  <si>
    <t>Dálková doprava - vlaky R, Rx, RJ, Ex, IC, EC, EN</t>
  </si>
  <si>
    <t>Trať 340 Brno – Uherské Hradiště</t>
  </si>
  <si>
    <t>10/2014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</si>
  <si>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</si>
  <si>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</si>
  <si>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</si>
  <si>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</si>
  <si>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</si>
  <si>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</si>
  <si>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</si>
  <si>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</si>
  <si>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</si>
  <si>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</si>
  <si>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</si>
  <si>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</si>
  <si>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pracovní</t>
  </si>
  <si>
    <t>soboty</t>
  </si>
  <si>
    <t>neděle a svátky</t>
  </si>
  <si>
    <t>počet cestujících za rok</t>
  </si>
  <si>
    <t>kusé koleje - regionální</t>
  </si>
  <si>
    <t>kusé koleje - dálková</t>
  </si>
  <si>
    <t xml:space="preserve">Hodnota uspořené osobohodiny v dálkové dopravě     </t>
  </si>
  <si>
    <t>pouze dotčená trať č. 240</t>
  </si>
  <si>
    <t>průjezdné koleje - dálková 300</t>
  </si>
  <si>
    <t>průjezdné koleje - dálková 340</t>
  </si>
  <si>
    <t>kusé koleje - regionální 244</t>
  </si>
  <si>
    <t xml:space="preserve"> -přejezdové zabezpečovací zařízení</t>
  </si>
  <si>
    <t xml:space="preserve"> -železniční přejezdy</t>
  </si>
  <si>
    <t>Kontrola:</t>
  </si>
  <si>
    <t xml:space="preserve"> -osvětlení venkovních žel</t>
  </si>
  <si>
    <t>Železniční svršek</t>
  </si>
  <si>
    <t>Železniční spodek</t>
  </si>
  <si>
    <t>Tunely</t>
  </si>
  <si>
    <t>Komunikace a zpevněné plochy</t>
  </si>
  <si>
    <t>Inženýrské sítě (trubní vedení, kabelovody)</t>
  </si>
  <si>
    <t>Pozemní stavby, nástupiště a přístřešky</t>
  </si>
  <si>
    <t>Objekty ochrany životního prostředí</t>
  </si>
  <si>
    <t>životnost [roky]</t>
  </si>
  <si>
    <t>5,50%</t>
  </si>
  <si>
    <t>poplatek za DC</t>
  </si>
  <si>
    <t>poznámka</t>
  </si>
  <si>
    <t>ND</t>
  </si>
  <si>
    <t>OD</t>
  </si>
  <si>
    <t>Přepočet na realizovaný úsek</t>
  </si>
  <si>
    <t>= celkem</t>
  </si>
  <si>
    <t>2018-2047</t>
  </si>
  <si>
    <t>Sdělovací a zabezpečovací technika</t>
  </si>
  <si>
    <t>Budovy</t>
  </si>
  <si>
    <t xml:space="preserve"> -nástupiště</t>
  </si>
  <si>
    <t xml:space="preserve"> -staniční zabezpečovací zařízení</t>
  </si>
  <si>
    <t>R</t>
  </si>
  <si>
    <t>Ec</t>
  </si>
  <si>
    <t>Osobní - Os</t>
  </si>
  <si>
    <t>HODNOTA</t>
  </si>
  <si>
    <t>Hradčany - Dolní Loučka 8,2 km</t>
  </si>
  <si>
    <t>Nedvědice - Tišnov</t>
  </si>
  <si>
    <t>Nedvědice - Tišnov 15,4 km</t>
  </si>
  <si>
    <t>Hradčany - Dolní Loučky</t>
  </si>
  <si>
    <t>délka opravovaného úseku (Hradčany - Dolní Loučky)</t>
  </si>
  <si>
    <t>délka opravovaného úseku (Nedvědice - Tišnov)</t>
  </si>
  <si>
    <t>úsek Hradčany - Dolní Loučky</t>
  </si>
  <si>
    <t>úsek Nedvědice - Tišnov</t>
  </si>
  <si>
    <t>2020-2049</t>
  </si>
  <si>
    <t>(přestupný rok)</t>
  </si>
  <si>
    <r>
      <t xml:space="preserve">průjezdné koleje - </t>
    </r>
    <r>
      <rPr>
        <sz val="10"/>
        <color rgb="FF00B0F0"/>
        <rFont val="Arial"/>
        <family val="2"/>
        <charset val="238"/>
      </rPr>
      <t>celostátní</t>
    </r>
    <r>
      <rPr>
        <sz val="10"/>
        <color theme="1"/>
        <rFont val="Arial"/>
        <family val="2"/>
        <charset val="238"/>
      </rPr>
      <t xml:space="preserve"> 250</t>
    </r>
  </si>
  <si>
    <r>
      <t xml:space="preserve">průjezdné koleje - </t>
    </r>
    <r>
      <rPr>
        <sz val="10"/>
        <color rgb="FF00B0F0"/>
        <rFont val="Arial"/>
        <family val="2"/>
        <charset val="238"/>
      </rPr>
      <t xml:space="preserve">celostátní </t>
    </r>
    <r>
      <rPr>
        <sz val="10"/>
        <color theme="1"/>
        <rFont val="Arial"/>
        <family val="2"/>
        <charset val="238"/>
      </rPr>
      <t>250</t>
    </r>
  </si>
  <si>
    <r>
      <t>průjezdné koleje -</t>
    </r>
    <r>
      <rPr>
        <sz val="10"/>
        <color rgb="FF00B0F0"/>
        <rFont val="Arial"/>
        <family val="2"/>
        <charset val="238"/>
      </rPr>
      <t xml:space="preserve"> regionální </t>
    </r>
    <r>
      <rPr>
        <sz val="10"/>
        <color theme="1"/>
        <rFont val="Arial"/>
        <family val="2"/>
        <charset val="238"/>
      </rPr>
      <t>251</t>
    </r>
  </si>
  <si>
    <t>Trať 250: úsek Dolní Loučky - Tišnov</t>
  </si>
  <si>
    <t>Trať 250: úsek Tišnov - Hradčany</t>
  </si>
  <si>
    <t>Trať 251: úsek Štěpánovice - Tišnov</t>
  </si>
  <si>
    <t>úsek Kuřim – Tišnov</t>
  </si>
  <si>
    <t>Kuřim</t>
  </si>
  <si>
    <t>Tišnov</t>
  </si>
  <si>
    <t>NEx</t>
  </si>
  <si>
    <t>expresní nákladní vlaky</t>
  </si>
  <si>
    <t>Pn</t>
  </si>
  <si>
    <t>Mn</t>
  </si>
  <si>
    <t>průběžné nákladní vlaky</t>
  </si>
  <si>
    <t>manipulační nákladní vlaky</t>
  </si>
  <si>
    <t>úsek Kuřim – Tišnov (sudý směr)</t>
  </si>
  <si>
    <t>úsek Tišnov – Říkonín (sudý směr)</t>
  </si>
  <si>
    <t>úsek Tišnov – Nedvědice (sudý směr)</t>
  </si>
  <si>
    <t>úsek Tišnov – Říkonín</t>
  </si>
  <si>
    <t>Říkonín</t>
  </si>
  <si>
    <t>úsek Nedvědice – Tišnov</t>
  </si>
  <si>
    <t>Nedvědice</t>
  </si>
  <si>
    <t>TEN-T</t>
  </si>
  <si>
    <t>REG</t>
  </si>
  <si>
    <t>úsek Kuřim (mimo) : Tišnov (mimo)</t>
  </si>
  <si>
    <t>Mostní objekty</t>
  </si>
  <si>
    <t>za rok 2014 odečteno 40 tis.</t>
  </si>
  <si>
    <t>za rok 2015 odečteno 2 mil., za rok 2016 odečteno 5 mil.</t>
  </si>
  <si>
    <t>za rok 2015 odečteno 150 tis., za rok 2016 odečteno 200 tis.</t>
  </si>
  <si>
    <t xml:space="preserve"> -traťové zabezpečovací zařízení</t>
  </si>
  <si>
    <t xml:space="preserve"> -napájení zabezpečovacího zařízení</t>
  </si>
  <si>
    <t>za rok 2015 odečteno 50 tis.</t>
  </si>
  <si>
    <t>za rok 2014 odečteno 8 tis., za rok 2015 odečteno 15 tis., za rok 2016 odečteno 15 tis.</t>
  </si>
  <si>
    <t xml:space="preserve"> -dispečerská řídící technika</t>
  </si>
  <si>
    <t xml:space="preserve"> -trakční vedení</t>
  </si>
  <si>
    <t>žst. Tišnov (celkem)</t>
  </si>
  <si>
    <t>za rok 2014 odečteno 220 tis., za rok 2015 odečteno 500 tis.</t>
  </si>
  <si>
    <t>vč. objektů mostům podobné</t>
  </si>
  <si>
    <t>za rok 2015 odečteno 1,9 mil.</t>
  </si>
  <si>
    <t>za rok 2014 odečteno 750 tis., za rok 2015 odečteno 40 tis.</t>
  </si>
  <si>
    <t>uvažována pouze položka 524</t>
  </si>
  <si>
    <t>úsek Tišnov (mimo) : Řikonín (mimo)</t>
  </si>
  <si>
    <t>úsek Prudká (mimo) : Tišnov (mimo)</t>
  </si>
  <si>
    <t>za rok 2015 odečteno 800 tis., za rok 2016 odečteno 1,9 mil.</t>
  </si>
  <si>
    <t>délky úseků pro náklady:</t>
  </si>
  <si>
    <t>délka opravovaného úseku:</t>
  </si>
  <si>
    <t>KONTROLA</t>
  </si>
  <si>
    <t>Personální potřeba:</t>
  </si>
  <si>
    <t>Dispoziční výpravčí</t>
  </si>
  <si>
    <t>Výpravčí vnější služby</t>
  </si>
  <si>
    <t>Operátor železniční dopravy</t>
  </si>
  <si>
    <t>Součet</t>
  </si>
  <si>
    <t>Přístřešky, zastřešení</t>
  </si>
  <si>
    <t>za rok 2015 odečteno 200 tis.</t>
  </si>
  <si>
    <t>za rok 2014 odečteno 200 tis., za rok 2015 odečteno 100 tis.</t>
  </si>
  <si>
    <t>pozice výhybky č. 1 (2), a 41</t>
  </si>
  <si>
    <t>zabzař - návěstidlo až výhybka žst. Tišnov</t>
  </si>
  <si>
    <t>výhybka žst. Tišnov až směrová a výšková úprava koleje</t>
  </si>
  <si>
    <t>výměna svršku až výhybka žst. Tišnov - před stanicí)</t>
  </si>
  <si>
    <t>km 94,350 ? - výhybka č. 42</t>
  </si>
  <si>
    <t>v běžný pracovní den</t>
  </si>
  <si>
    <t>v den pracovního klidu</t>
  </si>
  <si>
    <t>počet dní v roce 2017:</t>
  </si>
  <si>
    <t>pracovní den</t>
  </si>
  <si>
    <t>den pracovní klidu</t>
  </si>
  <si>
    <t>KONTROLA:</t>
  </si>
  <si>
    <t>Os.dálková (trať 251)</t>
  </si>
  <si>
    <t>Os.dálková (Kuřim - Tišnov)</t>
  </si>
  <si>
    <t>Os.dálková (Tišnov-Řikonín)</t>
  </si>
  <si>
    <t>Rozděleno dle množství vlaků</t>
  </si>
  <si>
    <t>Os. místní (Kuřim - Tišnov)</t>
  </si>
  <si>
    <t>Os. místní (Tišnov-Řikonín)</t>
  </si>
  <si>
    <t>Os. místní (trať 251)</t>
  </si>
  <si>
    <t>viz dále</t>
  </si>
  <si>
    <t>Průměrný denní počet cestujících v daném úseku v roce 2016</t>
  </si>
  <si>
    <t>trať 250</t>
  </si>
  <si>
    <t>Ø Po-Pá</t>
  </si>
  <si>
    <t>Ø So-Ne</t>
  </si>
  <si>
    <t>Dolní Loučky - Tišnov</t>
  </si>
  <si>
    <t>Tišnov - Hradčany</t>
  </si>
  <si>
    <t>trať 251</t>
  </si>
  <si>
    <t>Nedvědice - Doubravník</t>
  </si>
  <si>
    <t>Doubravník - Prudká zast.</t>
  </si>
  <si>
    <t>Prudká zast. - Borač</t>
  </si>
  <si>
    <t>Borač - Štěpánovice</t>
  </si>
  <si>
    <t>Štěpánovice - Tišnov</t>
  </si>
  <si>
    <t>krátkodobý výhled (2020 - 2021)</t>
  </si>
  <si>
    <t>počet párů (Po-Pá)</t>
  </si>
  <si>
    <t>počet párů (So)</t>
  </si>
  <si>
    <t>počet párů (Ne)</t>
  </si>
  <si>
    <t>úsek Kuřim – Tišnov (oba směry - páry vlaků)</t>
  </si>
  <si>
    <t>úsek Tišnov – Říkonín (sudý směr) - So</t>
  </si>
  <si>
    <t>úsek Tišnov – Říkonín (sudý směr) - Po-Čt</t>
  </si>
  <si>
    <t>úsek Tišnov – Říkonín (sudý směr) - Pá</t>
  </si>
  <si>
    <t>úsek Tišnov – Říkonín (sudý směr) - Ne</t>
  </si>
  <si>
    <t>úsek Tišnov – Nedvědice (sudý směr) - Po-Pá</t>
  </si>
  <si>
    <t>úsek Tišnov – Nedvědice (sudý směr) - So</t>
  </si>
  <si>
    <t>úsek Tišnov – Nedvědice (sudý směr) - Ne</t>
  </si>
  <si>
    <t>střednědobý výhled (po roce 2022)</t>
  </si>
  <si>
    <t>počet párů (Pá)</t>
  </si>
  <si>
    <t>počet párů (Po-Čt)</t>
  </si>
  <si>
    <t>2020-2021</t>
  </si>
  <si>
    <t>počet dní v roce 2020:</t>
  </si>
  <si>
    <t>počet dní v roce 2022:</t>
  </si>
  <si>
    <t>Po-Čt</t>
  </si>
  <si>
    <t>Pá</t>
  </si>
  <si>
    <t>Ne+svátky</t>
  </si>
  <si>
    <t>Průměrný denní počet cestujících v daném úseku</t>
  </si>
  <si>
    <t>2011</t>
  </si>
  <si>
    <t>2017</t>
  </si>
  <si>
    <t>Řikonín - Dolní Loučky</t>
  </si>
  <si>
    <t>Hradčany - Čebín</t>
  </si>
  <si>
    <t>Čebín - Kuřim</t>
  </si>
  <si>
    <t>Pozn. V roce 2017 na trati 250 probíhala výluka.</t>
  </si>
  <si>
    <t>Průměrný denní obrat cestujících v žst. Tišnov</t>
  </si>
  <si>
    <t>počet dní v roce 2011:</t>
  </si>
  <si>
    <t>celkem za rok 2011</t>
  </si>
  <si>
    <t>celkem za rok 2017</t>
  </si>
  <si>
    <t>Trend trati</t>
  </si>
  <si>
    <t>Kuřim - Tišnov</t>
  </si>
  <si>
    <t>Tišnov - Řikonín</t>
  </si>
  <si>
    <t>Tišnov - Nedvědice</t>
  </si>
  <si>
    <t>Koeficient tratě:</t>
  </si>
  <si>
    <t>0,75-0,85</t>
  </si>
  <si>
    <t>0,85-0,95</t>
  </si>
  <si>
    <t>0,95-1,05</t>
  </si>
  <si>
    <t>trend vývoje přepravního výkonu</t>
  </si>
  <si>
    <t>celkem za rok 2016</t>
  </si>
  <si>
    <t>počet dní v roce 2016:</t>
  </si>
  <si>
    <t>Data pro graf:</t>
  </si>
  <si>
    <t>Hradčany - Tišnov</t>
  </si>
  <si>
    <t>Tišnov - Dolní Loučky</t>
  </si>
  <si>
    <t>na trati 250 byla v roce 2017 výluka</t>
  </si>
  <si>
    <t>plán 2017 (kdyby nebyla výluka)</t>
  </si>
  <si>
    <t>x</t>
  </si>
  <si>
    <t>obrat trať 250</t>
  </si>
  <si>
    <t>obrat trať 251</t>
  </si>
  <si>
    <t>Kuřim-Tišnov</t>
  </si>
  <si>
    <t>Tišnov-Řikonín</t>
  </si>
  <si>
    <t>za rok 2015 odečteno 1,3 mil., za rok 2016 odečteno 1,1 mil. (PŮVODNĚ ODEČÍTALA ZA ROK 2014 370 TIS. KČ, ZA ROK 2015 1,7 MIL., 2016 1,5 MIL.)</t>
  </si>
  <si>
    <t>za rok 2014 odečteno 450 tis. (PŮVODNĚ: za rok 2014 odečteno 1,3 mil., za rok 2015 odečteno 850 tis., za rok 2016 odečteno 850 tis.)</t>
  </si>
  <si>
    <t>NIC NEODEČÍTÁME (Původně: za rok 2014 odečteno 50 tis.)</t>
  </si>
  <si>
    <t>za rok 2015 odečteno 400 tis., za rok 2016 odečteno 115 tis. (PŮVODNĚ: za rok 2014 odečteno 50 tis., za rok 2015 odečteno 450 tis., za rok 2016 odečteno 170 tis.)</t>
  </si>
  <si>
    <t>za rok 2016 odečteno 200 tis. (PŮVODNĚ:za rok 2014 odečteno 300 tis., za rok 2015 odečteno 300 tis., za rok 2016 odečteno 500 tis.)</t>
  </si>
  <si>
    <t>úsek Kuřim – Tišnov (končící/začínající vlaky v Tišnově)</t>
  </si>
  <si>
    <t>viz dále rozděleno na jednotlivé vlaky</t>
  </si>
  <si>
    <t>Místní doprava končící v Tišnově [vlhod]</t>
  </si>
  <si>
    <t>Místní doprava končící v Tišnově [vlkm]</t>
  </si>
  <si>
    <t>Místní doprava nekončící v Tišnově [vlhod]</t>
  </si>
  <si>
    <t>Místní doprava nekončící v Tišnově [vlkm]</t>
  </si>
  <si>
    <t>Místní doprava Sp [vlhod]</t>
  </si>
  <si>
    <t>Místní doprava Sp [vlkm]</t>
  </si>
  <si>
    <t>Dálková doprava [vlhod]</t>
  </si>
  <si>
    <t>Dálková doprava [vlkm]</t>
  </si>
  <si>
    <t>Místní doprava [vlhod]</t>
  </si>
  <si>
    <t>Místní doprava [vlkm]</t>
  </si>
  <si>
    <t>celkový výkon</t>
  </si>
  <si>
    <t>délka celého úseku [km]</t>
  </si>
  <si>
    <t>délka dotčeného úseku [km]</t>
  </si>
  <si>
    <t>výkon</t>
  </si>
  <si>
    <t>Scénář s projektem</t>
  </si>
  <si>
    <t>Scénář bez projektu</t>
  </si>
  <si>
    <t>POUZE ZA ROK 2016 ODEČTENO 2 MIL. (PŮVODNĚ ODEČÍTALA za rok 2014 odečteno 500 tis., za rok 2015 odečteno 500 tis., za rok 2016 odečteno 2 mil.)</t>
  </si>
  <si>
    <t>Nákladní doprava NEx [vlhod]</t>
  </si>
  <si>
    <t>den pracovního klidu</t>
  </si>
  <si>
    <t>celkem oba směry (Kuřim - Řikonín)</t>
  </si>
  <si>
    <t>Nákladní doprava NEx [vlkm]</t>
  </si>
  <si>
    <t>Nákladní doprava Pn [vlhod]</t>
  </si>
  <si>
    <t>Nákladní doprava Pn [vlkm]</t>
  </si>
  <si>
    <t>Po-Pá</t>
  </si>
  <si>
    <t>volné dny</t>
  </si>
  <si>
    <t>počet kusů vozidel/rok</t>
  </si>
  <si>
    <t>Prognózované obraty cestujících ve stanici - počet cestujících za rok</t>
  </si>
  <si>
    <t>za rok 2014 odečteno 1 mil., za rok 2015 odečteno 3,7 mil., za rok 2016 odečteno 5,2 mil.</t>
  </si>
  <si>
    <t>Měrný náklad
[Kč/thod] (CÚ2017)</t>
  </si>
  <si>
    <t>Měrný náklad
[Kč/thod] (CÚ2018)</t>
  </si>
  <si>
    <t>Dopravní mód - železnice</t>
  </si>
  <si>
    <t xml:space="preserve">Hodnota uspořené tunohodiny v nákladní dopravě     </t>
  </si>
  <si>
    <t>počet cestujících/rok - plná uzavírka</t>
  </si>
  <si>
    <t>počet cestujících/rok - částečná uzavírka</t>
  </si>
  <si>
    <t>Sazby časové a dráhové složky pro jednotlivé typy vozidel</t>
  </si>
  <si>
    <t>Osobní doprava</t>
  </si>
  <si>
    <t>Dráhová složka
[Kč/vlkm]</t>
  </si>
  <si>
    <t>Časová složka
[Kč/vlhod]</t>
  </si>
  <si>
    <t>mot.</t>
  </si>
  <si>
    <t>el.</t>
  </si>
  <si>
    <t>rozdíl</t>
  </si>
  <si>
    <t>suma</t>
  </si>
  <si>
    <t>Celkem investiční náklady bez rezervy</t>
  </si>
  <si>
    <t>Cash Flow</t>
  </si>
  <si>
    <t>Os.dálková (Kuřim - Řikonín)</t>
  </si>
  <si>
    <t>Časová složka
[Kč/vlhod]
CÚ 2018</t>
  </si>
  <si>
    <t>Časová složka
[Kč/vlhod]
CÚ 2016</t>
  </si>
  <si>
    <t>růst mezd</t>
  </si>
  <si>
    <r>
      <t>CO</t>
    </r>
    <r>
      <rPr>
        <vertAlign val="subscript"/>
        <sz val="10"/>
        <color theme="1"/>
        <rFont val="Arial"/>
        <family val="2"/>
        <charset val="238"/>
      </rPr>
      <t>2</t>
    </r>
  </si>
  <si>
    <r>
      <t>NO</t>
    </r>
    <r>
      <rPr>
        <vertAlign val="subscript"/>
        <sz val="10"/>
        <color theme="1"/>
        <rFont val="Arial"/>
        <family val="2"/>
        <charset val="238"/>
      </rPr>
      <t>x</t>
    </r>
  </si>
  <si>
    <r>
      <t>SO</t>
    </r>
    <r>
      <rPr>
        <vertAlign val="subscript"/>
        <sz val="10"/>
        <color theme="1"/>
        <rFont val="Arial"/>
        <family val="2"/>
        <charset val="238"/>
      </rPr>
      <t>2</t>
    </r>
  </si>
  <si>
    <r>
      <t>PM</t>
    </r>
    <r>
      <rPr>
        <vertAlign val="subscript"/>
        <sz val="10"/>
        <color theme="1"/>
        <rFont val="Arial"/>
        <family val="2"/>
        <charset val="238"/>
      </rPr>
      <t>2,5</t>
    </r>
  </si>
  <si>
    <r>
      <t>PM</t>
    </r>
    <r>
      <rPr>
        <vertAlign val="subscript"/>
        <sz val="10"/>
        <color theme="1"/>
        <rFont val="Arial"/>
        <family val="2"/>
        <charset val="238"/>
      </rPr>
      <t>10</t>
    </r>
  </si>
  <si>
    <t>dopravní mód</t>
  </si>
  <si>
    <t>emisní faktor (polutant)</t>
  </si>
  <si>
    <t>charakter zástavby</t>
  </si>
  <si>
    <t>jednotka</t>
  </si>
  <si>
    <t>[g/vozokm]</t>
  </si>
  <si>
    <t>předměstí
(cca 300 obyv/km2)</t>
  </si>
  <si>
    <t>jednotkové náklady polutantů</t>
  </si>
  <si>
    <t>[Kč/t]</t>
  </si>
  <si>
    <t>profese</t>
  </si>
  <si>
    <t>mosty a tunely</t>
  </si>
  <si>
    <t>komunikace</t>
  </si>
  <si>
    <t>trakční vedení</t>
  </si>
  <si>
    <t>napájení</t>
  </si>
  <si>
    <t>elektro</t>
  </si>
  <si>
    <t>1/4 cyklu</t>
  </si>
  <si>
    <t>1/2 cyklu</t>
  </si>
  <si>
    <t>3/4 cyklu</t>
  </si>
  <si>
    <t>opravy</t>
  </si>
  <si>
    <t>železniční svršek</t>
  </si>
  <si>
    <t>železniční spodek</t>
  </si>
  <si>
    <t>pozemní stavby</t>
  </si>
  <si>
    <t>zabezpečovací zařízení</t>
  </si>
  <si>
    <t>sdělovací zařízení</t>
  </si>
  <si>
    <t>cyklus obnovy zařízení
dráha celostátní TC2 [rok]</t>
  </si>
  <si>
    <t>rok opravy</t>
  </si>
  <si>
    <t>začíná běžet životnost od roku</t>
  </si>
  <si>
    <t>rok nutné reinvestice</t>
  </si>
  <si>
    <r>
      <t xml:space="preserve">konec hodnotícího období: </t>
    </r>
    <r>
      <rPr>
        <sz val="10"/>
        <color rgb="FFFF0000"/>
        <rFont val="Arial"/>
        <family val="2"/>
        <charset val="238"/>
      </rPr>
      <t>2049</t>
    </r>
  </si>
  <si>
    <t>náklady na opravy</t>
  </si>
  <si>
    <t>náklady reinvestice</t>
  </si>
  <si>
    <t>S PROJEKTEM:</t>
  </si>
  <si>
    <t>BEZ PROJEKTU:</t>
  </si>
  <si>
    <t xml:space="preserve">vybrané výhybky </t>
  </si>
  <si>
    <t>rok výstavby</t>
  </si>
  <si>
    <t>rok nutné investice</t>
  </si>
  <si>
    <t>ostatní výhybky dopravní koleje</t>
  </si>
  <si>
    <t>ostatní výhybky manipulační koleje</t>
  </si>
  <si>
    <t>č. 42 (Nedvědice)</t>
  </si>
  <si>
    <t>koleje kuřimské záhlaví</t>
  </si>
  <si>
    <t>staniční č. 1 a 2</t>
  </si>
  <si>
    <t>řikonínské záhlaví</t>
  </si>
  <si>
    <t>manipulační koleje</t>
  </si>
  <si>
    <t>?</t>
  </si>
  <si>
    <t>nástupiště</t>
  </si>
  <si>
    <t>přístřešky</t>
  </si>
  <si>
    <t>přejezd přes č. 1 a 2</t>
  </si>
  <si>
    <t>přejezd přes č. 6</t>
  </si>
  <si>
    <t>zpevněné plochy</t>
  </si>
  <si>
    <t>km 29,271</t>
  </si>
  <si>
    <t>km 29,509</t>
  </si>
  <si>
    <t>km 29,978</t>
  </si>
  <si>
    <t>km 29,757</t>
  </si>
  <si>
    <t>km 30,440</t>
  </si>
  <si>
    <t>km 30,441</t>
  </si>
  <si>
    <t>km 30,896</t>
  </si>
  <si>
    <t>propustek km 29,077</t>
  </si>
  <si>
    <t>propustek km 94,091</t>
  </si>
  <si>
    <t>1942-1969</t>
  </si>
  <si>
    <t>SZZ</t>
  </si>
  <si>
    <t>TZZ (Kuřim - Tišnov)</t>
  </si>
  <si>
    <t>TZZ (Tišnov - Řikonín)</t>
  </si>
  <si>
    <t>TZZ (Tišnov - Nedvědice)</t>
  </si>
  <si>
    <t>PZZ</t>
  </si>
  <si>
    <t>rozhlas</t>
  </si>
  <si>
    <t>VTO</t>
  </si>
  <si>
    <t>Hodiny (HN)</t>
  </si>
  <si>
    <t>informační zařízení</t>
  </si>
  <si>
    <t>EPS</t>
  </si>
  <si>
    <t>místní kabelizace</t>
  </si>
  <si>
    <t>trafostanice</t>
  </si>
  <si>
    <t>rozvod el. energie NN</t>
  </si>
  <si>
    <t>EOV</t>
  </si>
  <si>
    <t>1976-1980</t>
  </si>
  <si>
    <t>napájení ZZ</t>
  </si>
  <si>
    <t>1972-1975</t>
  </si>
  <si>
    <t>osvětlení</t>
  </si>
  <si>
    <t>1980-1989</t>
  </si>
  <si>
    <t>další reinvestice</t>
  </si>
  <si>
    <t>dle výpočtu</t>
  </si>
  <si>
    <t>dle OŘ</t>
  </si>
  <si>
    <t>součástí místní kabelizace</t>
  </si>
  <si>
    <t>cena dle projektu (NTS + provizorní NTS)</t>
  </si>
  <si>
    <t xml:space="preserve"> i DOÚO</t>
  </si>
  <si>
    <t>cena dle projektu (EPZ)</t>
  </si>
  <si>
    <t>cena dle sborníku (demontáž a montáž)</t>
  </si>
  <si>
    <t>9 ks</t>
  </si>
  <si>
    <t>(1970-1988) - 21 ks</t>
  </si>
  <si>
    <t>(1966-1980) - 7 ks</t>
  </si>
  <si>
    <t>532 m (rekonstrukce železničního svršku)</t>
  </si>
  <si>
    <t>(regenerovaná) - 1 ks</t>
  </si>
  <si>
    <t>různého stáří - 5215 m</t>
  </si>
  <si>
    <t>2007 a 2012 - 532 m</t>
  </si>
  <si>
    <t>3201 m</t>
  </si>
  <si>
    <t>součástí informačního zařízení ( ve stejných letech)</t>
  </si>
  <si>
    <t>další reinvestice/opravy</t>
  </si>
  <si>
    <t>přejezdy</t>
  </si>
  <si>
    <t>budovy</t>
  </si>
  <si>
    <t>různě</t>
  </si>
  <si>
    <t>nejnovější 2008</t>
  </si>
  <si>
    <t>DOÚO</t>
  </si>
  <si>
    <t>zbytek</t>
  </si>
  <si>
    <t>typy vozidel
(Cáhlovská)</t>
  </si>
  <si>
    <t>typy vozidel
(Riegrova - III. třída)</t>
  </si>
  <si>
    <t>Základní provozní náklady</t>
  </si>
  <si>
    <t>Náklady na pořízení vozidel</t>
  </si>
  <si>
    <t>[Kč/vlhod]</t>
  </si>
  <si>
    <t>Náklady na údržbu a opravy vozidel</t>
  </si>
  <si>
    <t>Náklady na energii</t>
  </si>
  <si>
    <t>[Kč/vlkm]</t>
  </si>
  <si>
    <t>Náklady na mzdy</t>
  </si>
  <si>
    <t>Náklady na správu a režii</t>
  </si>
  <si>
    <t>1216+1000 t</t>
  </si>
  <si>
    <t>1216+1600 t</t>
  </si>
  <si>
    <t>1216+1216+2100 t</t>
  </si>
  <si>
    <t>Počet hrtkm</t>
  </si>
  <si>
    <r>
      <t>Regionální osobní vlak (</t>
    </r>
    <r>
      <rPr>
        <i/>
        <sz val="10"/>
        <color theme="0" tint="-0.34998626667073579"/>
        <rFont val="Arial"/>
        <family val="2"/>
        <charset val="238"/>
      </rPr>
      <t>Os</t>
    </r>
    <r>
      <rPr>
        <sz val="10"/>
        <color theme="0" tint="-0.34998626667073579"/>
        <rFont val="Arial"/>
        <family val="2"/>
        <charset val="238"/>
      </rPr>
      <t>)</t>
    </r>
  </si>
  <si>
    <r>
      <t>Meziregionální osobní vlak (</t>
    </r>
    <r>
      <rPr>
        <i/>
        <sz val="10"/>
        <color theme="0" tint="-0.34998626667073579"/>
        <rFont val="Arial"/>
        <family val="2"/>
        <charset val="238"/>
      </rPr>
      <t>Os</t>
    </r>
    <r>
      <rPr>
        <sz val="10"/>
        <color theme="0" tint="-0.34998626667073579"/>
        <rFont val="Arial"/>
        <family val="2"/>
        <charset val="238"/>
      </rPr>
      <t>)</t>
    </r>
  </si>
  <si>
    <r>
      <t>Meziregionální rychlík (</t>
    </r>
    <r>
      <rPr>
        <i/>
        <sz val="10"/>
        <color theme="0" tint="-0.34998626667073579"/>
        <rFont val="Arial"/>
        <family val="2"/>
        <charset val="238"/>
      </rPr>
      <t>Sp</t>
    </r>
    <r>
      <rPr>
        <sz val="10"/>
        <color theme="0" tint="-0.34998626667073579"/>
        <rFont val="Arial"/>
        <family val="2"/>
        <charset val="238"/>
      </rPr>
      <t>)</t>
    </r>
  </si>
  <si>
    <r>
      <t>Meziregionální rychlík (</t>
    </r>
    <r>
      <rPr>
        <i/>
        <sz val="10"/>
        <color theme="0" tint="-0.34998626667073579"/>
        <rFont val="Arial"/>
        <family val="2"/>
        <charset val="238"/>
      </rPr>
      <t>R</t>
    </r>
    <r>
      <rPr>
        <sz val="10"/>
        <color theme="0" tint="-0.34998626667073579"/>
        <rFont val="Arial"/>
        <family val="2"/>
        <charset val="238"/>
      </rPr>
      <t>)</t>
    </r>
  </si>
  <si>
    <r>
      <t>Průběžný nákladní vlak (</t>
    </r>
    <r>
      <rPr>
        <i/>
        <sz val="10"/>
        <color theme="0" tint="-0.34998626667073579"/>
        <rFont val="Arial"/>
        <family val="2"/>
        <charset val="238"/>
      </rPr>
      <t>Pn</t>
    </r>
    <r>
      <rPr>
        <sz val="10"/>
        <color theme="0" tint="-0.34998626667073579"/>
        <rFont val="Arial"/>
        <family val="2"/>
        <charset val="238"/>
      </rPr>
      <t>)</t>
    </r>
  </si>
  <si>
    <r>
      <t>Kontejnerový expresní vlak (</t>
    </r>
    <r>
      <rPr>
        <i/>
        <sz val="10"/>
        <color theme="0" tint="-0.34998626667073579"/>
        <rFont val="Arial"/>
        <family val="2"/>
        <charset val="238"/>
      </rPr>
      <t>NEx</t>
    </r>
    <r>
      <rPr>
        <sz val="10"/>
        <color theme="0" tint="-0.34998626667073579"/>
        <rFont val="Arial"/>
        <family val="2"/>
        <charset val="238"/>
      </rPr>
      <t>)</t>
    </r>
  </si>
  <si>
    <t>STARÉ</t>
  </si>
  <si>
    <t>Os (251)</t>
  </si>
  <si>
    <t>Os (250)</t>
  </si>
  <si>
    <t>Sp (251)</t>
  </si>
  <si>
    <t>Sp (250)</t>
  </si>
  <si>
    <t>R (250)</t>
  </si>
  <si>
    <r>
      <t>Místní doprava (</t>
    </r>
    <r>
      <rPr>
        <b/>
        <i/>
        <sz val="10"/>
        <color theme="1"/>
        <rFont val="Arial"/>
        <family val="2"/>
        <charset val="238"/>
      </rPr>
      <t>Os</t>
    </r>
    <r>
      <rPr>
        <b/>
        <sz val="10"/>
        <color theme="1"/>
        <rFont val="Arial"/>
        <family val="2"/>
        <charset val="238"/>
      </rPr>
      <t>) končící v Tišnově
trať 250</t>
    </r>
  </si>
  <si>
    <r>
      <t>Místní doprava (</t>
    </r>
    <r>
      <rPr>
        <b/>
        <i/>
        <sz val="10"/>
        <color theme="1"/>
        <rFont val="Arial"/>
        <family val="2"/>
        <charset val="238"/>
      </rPr>
      <t>Os</t>
    </r>
    <r>
      <rPr>
        <b/>
        <sz val="10"/>
        <color theme="1"/>
        <rFont val="Arial"/>
        <family val="2"/>
        <charset val="238"/>
      </rPr>
      <t>) pokračující dále
trať 250</t>
    </r>
  </si>
  <si>
    <r>
      <t>Místní doprava (</t>
    </r>
    <r>
      <rPr>
        <b/>
        <i/>
        <sz val="10"/>
        <color theme="1"/>
        <rFont val="Arial"/>
        <family val="2"/>
        <charset val="238"/>
      </rPr>
      <t>Sp</t>
    </r>
    <r>
      <rPr>
        <b/>
        <sz val="10"/>
        <color theme="1"/>
        <rFont val="Arial"/>
        <family val="2"/>
        <charset val="238"/>
      </rPr>
      <t>)
trať 250</t>
    </r>
  </si>
  <si>
    <r>
      <t>Dálková doprava (</t>
    </r>
    <r>
      <rPr>
        <b/>
        <i/>
        <sz val="10"/>
        <color theme="1"/>
        <rFont val="Arial"/>
        <family val="2"/>
        <charset val="238"/>
      </rPr>
      <t>R</t>
    </r>
    <r>
      <rPr>
        <b/>
        <sz val="10"/>
        <color theme="1"/>
        <rFont val="Arial"/>
        <family val="2"/>
        <charset val="238"/>
      </rPr>
      <t>)
trať 250</t>
    </r>
  </si>
  <si>
    <r>
      <t>Místní doprava (</t>
    </r>
    <r>
      <rPr>
        <b/>
        <i/>
        <sz val="10"/>
        <color theme="1"/>
        <rFont val="Arial"/>
        <family val="2"/>
        <charset val="238"/>
      </rPr>
      <t>Os</t>
    </r>
    <r>
      <rPr>
        <b/>
        <sz val="10"/>
        <color theme="1"/>
        <rFont val="Arial"/>
        <family val="2"/>
        <charset val="238"/>
      </rPr>
      <t>) 
trať 251</t>
    </r>
  </si>
  <si>
    <r>
      <t>Místní doprava (</t>
    </r>
    <r>
      <rPr>
        <b/>
        <i/>
        <sz val="10"/>
        <color theme="1"/>
        <rFont val="Arial"/>
        <family val="2"/>
        <charset val="238"/>
      </rPr>
      <t>Sp</t>
    </r>
    <r>
      <rPr>
        <b/>
        <sz val="10"/>
        <color theme="1"/>
        <rFont val="Arial"/>
        <family val="2"/>
        <charset val="238"/>
      </rPr>
      <t>) 
trať 251</t>
    </r>
  </si>
  <si>
    <r>
      <t>1216+1200 t (</t>
    </r>
    <r>
      <rPr>
        <b/>
        <i/>
        <sz val="8"/>
        <rFont val="Arial"/>
        <family val="2"/>
        <charset val="238"/>
      </rPr>
      <t>Pn</t>
    </r>
    <r>
      <rPr>
        <b/>
        <sz val="8"/>
        <rFont val="Arial"/>
        <family val="2"/>
        <charset val="238"/>
      </rPr>
      <t>)</t>
    </r>
  </si>
  <si>
    <r>
      <t>1216+1200 t (</t>
    </r>
    <r>
      <rPr>
        <b/>
        <i/>
        <sz val="8"/>
        <rFont val="Arial"/>
        <family val="2"/>
        <charset val="238"/>
      </rPr>
      <t>Nex</t>
    </r>
    <r>
      <rPr>
        <b/>
        <sz val="8"/>
        <rFont val="Arial"/>
        <family val="2"/>
        <charset val="238"/>
      </rPr>
      <t>)</t>
    </r>
  </si>
  <si>
    <t>cena za vlkm</t>
  </si>
  <si>
    <t>Počet vlaků po odečtení vlaků v době NAD:</t>
  </si>
  <si>
    <t>Bez projektu:</t>
  </si>
  <si>
    <t>plná</t>
  </si>
  <si>
    <t>částečná</t>
  </si>
  <si>
    <t>počet vlaků celkem</t>
  </si>
  <si>
    <t>celkem</t>
  </si>
  <si>
    <t>odečteno</t>
  </si>
  <si>
    <t>bez NAD</t>
  </si>
  <si>
    <t>251 Os</t>
  </si>
  <si>
    <t>251 Sp</t>
  </si>
  <si>
    <t>S projektem:</t>
  </si>
  <si>
    <t>regionální vlaky směr Křižanov</t>
  </si>
  <si>
    <t>Dolní Loučky</t>
  </si>
  <si>
    <t>Řikonín</t>
  </si>
  <si>
    <t>Níhov</t>
  </si>
  <si>
    <t>Vlkov u Tišnova</t>
  </si>
  <si>
    <t>Osová Bítýška</t>
  </si>
  <si>
    <t>Ořechov</t>
  </si>
  <si>
    <t>regionální vlaky směr Brno</t>
  </si>
  <si>
    <t>Hradčany</t>
  </si>
  <si>
    <t>Čebín</t>
  </si>
  <si>
    <t>Česká</t>
  </si>
  <si>
    <t>Brno-Řečkovice</t>
  </si>
  <si>
    <t>Brno-Královo Pole</t>
  </si>
  <si>
    <t>Brno-Lesná</t>
  </si>
  <si>
    <t>Brno-Židenice</t>
  </si>
  <si>
    <t>dálkové vlaky směr Havlíčkův Brod</t>
  </si>
  <si>
    <t>Ø So - Ne</t>
  </si>
  <si>
    <t>Křižanov</t>
  </si>
  <si>
    <t>Žďár n.Sázavou</t>
  </si>
  <si>
    <t>Přibyslav</t>
  </si>
  <si>
    <t>dálkové vlaky směr Brno</t>
  </si>
  <si>
    <t>vlaky směr Nedvědice</t>
  </si>
  <si>
    <t>Štěpánovice</t>
  </si>
  <si>
    <t>Borač</t>
  </si>
  <si>
    <t>Prudká zast.</t>
  </si>
  <si>
    <t>Doubravník</t>
  </si>
  <si>
    <r>
      <t xml:space="preserve">Průměrný denní počet nastupujících cestujících v roce </t>
    </r>
    <r>
      <rPr>
        <b/>
        <u/>
        <sz val="11"/>
        <color rgb="FFFF0000"/>
        <rFont val="Calibri"/>
        <family val="2"/>
        <charset val="238"/>
        <scheme val="minor"/>
      </rPr>
      <t>2016</t>
    </r>
  </si>
  <si>
    <t>[g/vlkm]</t>
  </si>
  <si>
    <t>dieselová trakce</t>
  </si>
  <si>
    <t>elektrická trakce</t>
  </si>
  <si>
    <t>silniční doprava</t>
  </si>
  <si>
    <t>BUS</t>
  </si>
  <si>
    <t>železniční doprava
(osobní)</t>
  </si>
  <si>
    <t>železniční doprava
(nákladní)</t>
  </si>
  <si>
    <t>železniční osobní doprava</t>
  </si>
  <si>
    <t>železniční nákladní doprava</t>
  </si>
  <si>
    <t>silniční osobní doprava (BUS)</t>
  </si>
  <si>
    <t>úspory externalit</t>
  </si>
  <si>
    <t>pouze upraveno pro text</t>
  </si>
  <si>
    <t>osobní doprava</t>
  </si>
  <si>
    <t>Hmotnost
[t]</t>
  </si>
  <si>
    <t>celková cena - rok 2020
[Kč]</t>
  </si>
  <si>
    <t>už počítáno jinak - dle prohlášení o dráze</t>
  </si>
  <si>
    <t>C/L</t>
  </si>
  <si>
    <t>TOR</t>
  </si>
  <si>
    <t>NAD</t>
  </si>
  <si>
    <t>uzavírka silnic</t>
  </si>
  <si>
    <t>opěrné zdi</t>
  </si>
  <si>
    <t>traťový kabel</t>
  </si>
  <si>
    <t>asi 1976</t>
  </si>
  <si>
    <t>Prognózovaná poptávka po osobní dopravě - počet cestujících za rok</t>
  </si>
  <si>
    <t>Celkem cestujících</t>
  </si>
  <si>
    <t>Tabulky do samostatné neveřejné přílohy:</t>
  </si>
  <si>
    <t>Pro navazuj. zpoždění cestujících nastup. do NAD</t>
  </si>
  <si>
    <t>počet cest. (PLNÁ)</t>
  </si>
  <si>
    <t>počet cest. (ČÁST.)</t>
  </si>
  <si>
    <t>počet cest. (PLNÁ - REALIZACE)</t>
  </si>
  <si>
    <t>ZRN [tis. Kč]</t>
  </si>
  <si>
    <t>TÚ Tišnov - Řikonín, traťové zabezpečovací zařízení</t>
  </si>
  <si>
    <t>TÚ Nedvědice - Tišnov, traťové zabezpečovací zařízení</t>
  </si>
  <si>
    <t>ŽST Tišnov, místní kabelizace</t>
  </si>
  <si>
    <t>ŽST Tišnov, přenosové zařízení</t>
  </si>
  <si>
    <t>Tišnov - Řikonín, traťový kabel</t>
  </si>
  <si>
    <t>Tišnov - Nedvědice, traťový kabel</t>
  </si>
  <si>
    <t>Tišnov - Nedvědice, DOK</t>
  </si>
  <si>
    <t>ŽST Tišnov, telefonní ústředna</t>
  </si>
  <si>
    <t>ŽST Tišnov, sdělovací zařízení</t>
  </si>
  <si>
    <t>ŽST Tišnov, ASHS</t>
  </si>
  <si>
    <t>ŽST Tišnov, EZS a LDP</t>
  </si>
  <si>
    <t>ŽST Tišnov, rozhlasové zařízení</t>
  </si>
  <si>
    <t>ŽST Tišnov, informační zařízení</t>
  </si>
  <si>
    <t>ŽST Tišnov, kamerový systém</t>
  </si>
  <si>
    <t>Úprava stávajících radiových systémů</t>
  </si>
  <si>
    <t>ŽST Tišnov, dálková diagnostika TS ŽDC</t>
  </si>
  <si>
    <t>ŽST Tišnov, zařízení DŘT včetně doplnění řídicího systému na ED Brno</t>
  </si>
  <si>
    <t>ŽST Tišnov, trafostanice 25/0,4kV pro zab. zař.</t>
  </si>
  <si>
    <t>ŽST Tišnov, rekonstrukce trafostanice 22/0,4kV</t>
  </si>
  <si>
    <t xml:space="preserve">ŽST Tišnov, rekonstrukce trafostanice 22/0,4kV – VZT </t>
  </si>
  <si>
    <t>ŽST Tišnov, trafostanice pro EPZ</t>
  </si>
  <si>
    <t>ŽST Tišnov, trafostanice pro EPZ - VZT</t>
  </si>
  <si>
    <t>ŽST Tišnov, NTS 6kV</t>
  </si>
  <si>
    <t>ŽST Tišnov, kontejnerová PNTS 6kV</t>
  </si>
  <si>
    <t>ŽST Tišnov, rozvodna nn</t>
  </si>
  <si>
    <t>ŽST Tišnov, rekonstrukce náhradního zdroje</t>
  </si>
  <si>
    <t>SO 01-16-01</t>
  </si>
  <si>
    <t>ŽST Tišnov, železniční spodek</t>
  </si>
  <si>
    <t>SŽDC</t>
  </si>
  <si>
    <t>SO 01-17-01</t>
  </si>
  <si>
    <t>ŽST Tišnov, železniční svršek</t>
  </si>
  <si>
    <t>SO 01-17-02</t>
  </si>
  <si>
    <t>Výstroj trati</t>
  </si>
  <si>
    <t>SO 01-16-02</t>
  </si>
  <si>
    <t>ŽST Tišnov, nástupiště</t>
  </si>
  <si>
    <t>SO 01-17-03</t>
  </si>
  <si>
    <t xml:space="preserve">ŽST Tišnov, železniční přejezd v km 30,607 </t>
  </si>
  <si>
    <t>SO 02-19-01</t>
  </si>
  <si>
    <t>TÚ Kuřim - Tišnov, propustek v km 29,077</t>
  </si>
  <si>
    <t>SO 02-19-02</t>
  </si>
  <si>
    <t>TÚ Kuřim - Tišnov, most v km 29,271</t>
  </si>
  <si>
    <t>SO 02-19-03</t>
  </si>
  <si>
    <t>TÚ Kuřim - Tišnov, opěrná zeď v km 29,360 - 29,450</t>
  </si>
  <si>
    <t>SO 02-19-04</t>
  </si>
  <si>
    <t>TÚ Kuřim - Tišnov, opěrná zeď v km 29,407 - 29,502</t>
  </si>
  <si>
    <t>SO 01-19-01</t>
  </si>
  <si>
    <t>ŽST Tišnov, most v km 29,509</t>
  </si>
  <si>
    <t>SO 01-19-02</t>
  </si>
  <si>
    <t>ŽST Tišnov, opěrná zeď v km 29,517 - 29,566</t>
  </si>
  <si>
    <t>SO 01-19-03</t>
  </si>
  <si>
    <t>ŽST Tišnov, most v km 29,765</t>
  </si>
  <si>
    <t>SO 01-19-04</t>
  </si>
  <si>
    <t>ŽST Tišnov, staniční podchod v km 30,008</t>
  </si>
  <si>
    <t>SO 01-19-05</t>
  </si>
  <si>
    <t>ŽST Tišnov, odvodnění žel. spodku v km 30,440</t>
  </si>
  <si>
    <t>SO 04-19-01</t>
  </si>
  <si>
    <t>TÚ Nedvědice - Tišnov, propustek v km 94,091</t>
  </si>
  <si>
    <t>SO 04-19-02</t>
  </si>
  <si>
    <t>TÚ Nedvědice - Tišnov, opěrná zeď v km 94,100 – 94,160</t>
  </si>
  <si>
    <t>SO 01-19-07</t>
  </si>
  <si>
    <t>ŽST Tišnov, most v km 30,896</t>
  </si>
  <si>
    <t>SO 01-19-08</t>
  </si>
  <si>
    <t>ŽST Tišnov, staniční podchod v km 29,861</t>
  </si>
  <si>
    <t>SO 01-19-04.1</t>
  </si>
  <si>
    <t>ŽST Tišnov, čerpání vody z podchodu v km 30,008</t>
  </si>
  <si>
    <t>SO 01-19-08.1</t>
  </si>
  <si>
    <t>ŽST Tišnov, čerpání vody z podchodu v km 29,861</t>
  </si>
  <si>
    <t>SO 01-10-01</t>
  </si>
  <si>
    <t>ŽST Tišnov, přeložky a ochrany drážních sdělovacích kabelů</t>
  </si>
  <si>
    <t>SO 01-10-02</t>
  </si>
  <si>
    <t>ŽST Tišnov, přeložky a ochrany mimodrážních sdělovacích kabelů</t>
  </si>
  <si>
    <t>Ostatní</t>
  </si>
  <si>
    <t>SO 01-10-03</t>
  </si>
  <si>
    <t>ŽST Tišnov, přeložky a ochrany kabelů ČD-Telematiky</t>
  </si>
  <si>
    <t>Přehled provozních souborů a stavebních objektů s dělením nákladů dle druhu majetku (financováno SŽDC s. o.)</t>
  </si>
  <si>
    <t>SO 01-06-42</t>
  </si>
  <si>
    <t>ŽST Tišnov, přeložky kabelových vedení nn VO</t>
  </si>
  <si>
    <t>SO 01-06-43</t>
  </si>
  <si>
    <t>ŽST Tišnov, úprava VO pod mostem v km 29,765</t>
  </si>
  <si>
    <t>SO 01-06-44</t>
  </si>
  <si>
    <t>ŽST Tišnov, přeložka kabelového vedení nn v km 94,153</t>
  </si>
  <si>
    <t>SO 00-50-01</t>
  </si>
  <si>
    <t>Kácení a náhradní výsadba</t>
  </si>
  <si>
    <t>SO 01-22-01</t>
  </si>
  <si>
    <t>ŽST Tišnov, areálový vodovod</t>
  </si>
  <si>
    <t>SO 01-22-01.1</t>
  </si>
  <si>
    <t>ŽST Tišnov, zbrojení souprav vodou</t>
  </si>
  <si>
    <t>SO 01-22-02</t>
  </si>
  <si>
    <t>ŽST Tišnov, rekonstrukce přípojky vodovodu provozní budovy</t>
  </si>
  <si>
    <t>SO 01-22-03</t>
  </si>
  <si>
    <t>ŽST Tišnov, rekonstrukce přípojky kanalizace provozní budovy</t>
  </si>
  <si>
    <t>SO 01-22-04</t>
  </si>
  <si>
    <t>ŽST Tišnov, přeložka kanalizace DN500 pod mostem v km 29,509</t>
  </si>
  <si>
    <t>SO 01-22-05</t>
  </si>
  <si>
    <t>ŽST Tišnov, přeložka odlehčovací kanalizace pod mostem v km 29,509</t>
  </si>
  <si>
    <t>SO 01-22-06</t>
  </si>
  <si>
    <t>ŽST Tišnov, ochrana plynovodu</t>
  </si>
  <si>
    <t>SO 01-22-07</t>
  </si>
  <si>
    <t>ŽST Tišnov, přeložka a ochrana vodovodu pod mostem v km 29,509</t>
  </si>
  <si>
    <t>SO 01-22-08</t>
  </si>
  <si>
    <t>ŽST Tišnov, přeložka vodovodu pod mostem v km 29,765</t>
  </si>
  <si>
    <t>SO 01-18-01</t>
  </si>
  <si>
    <t>ŽST Tišnov, služební parkoviště</t>
  </si>
  <si>
    <t>SO 01-18-02</t>
  </si>
  <si>
    <t>ŽST Tišnov, rekonstrukce manipulačních ploch</t>
  </si>
  <si>
    <t>SO 01-18-03</t>
  </si>
  <si>
    <t>ŽST Tišnov, rekonstrukce komunikačních ploch</t>
  </si>
  <si>
    <t>SO 01-18-04</t>
  </si>
  <si>
    <t>ŽST Tišnov, rekonstrukce příjezdové komunikace k EPZ</t>
  </si>
  <si>
    <t>SO 02-18-01</t>
  </si>
  <si>
    <t>Úprava komunikace pod mostem v km 29,271</t>
  </si>
  <si>
    <t>SO 01-18-05</t>
  </si>
  <si>
    <t>Úprava komunikace pod mostem v km 29,509</t>
  </si>
  <si>
    <t>SO 01-18-06</t>
  </si>
  <si>
    <t>Úprava komunikace pro pěší a cyklisty pod mostem v km 29,765</t>
  </si>
  <si>
    <t>SO 01-10-04</t>
  </si>
  <si>
    <t>ŽST Tišnov, kabelovod</t>
  </si>
  <si>
    <t>SO 01-33-01</t>
  </si>
  <si>
    <t>TÚ Kuřim - Tišnov, úpravy stávající PHS v km 29,300 - 29,500</t>
  </si>
  <si>
    <t>SO 01-33-02</t>
  </si>
  <si>
    <t>TÚ Kuřim - Tišnov, PHS v km 29,220 – 29,380</t>
  </si>
  <si>
    <t>SO 01-33-03</t>
  </si>
  <si>
    <t>ŽST Tišnov, individuální protihluková opatření</t>
  </si>
  <si>
    <t>SO 01-15-01</t>
  </si>
  <si>
    <t>ŽST Tišnov, orientační systém</t>
  </si>
  <si>
    <t>SO 01-15-02</t>
  </si>
  <si>
    <t>ŽST Tišnov, vnitřní úpravy v budově RZZ</t>
  </si>
  <si>
    <t>SO 01-15-03</t>
  </si>
  <si>
    <t>ŽST Tišnov, železniční přístřešek</t>
  </si>
  <si>
    <t>SO 01-15-04</t>
  </si>
  <si>
    <t>ŽST Tišnov, provozní budova</t>
  </si>
  <si>
    <t>SO 01-15-05</t>
  </si>
  <si>
    <t>ŽST Tišnov, budova EPZ</t>
  </si>
  <si>
    <t>SO 01-15-06</t>
  </si>
  <si>
    <t>ŽST Tišnov, demolice bývalé vodárny</t>
  </si>
  <si>
    <t>SO 01-15-07</t>
  </si>
  <si>
    <t>ŽST Tišnov, demolice kanceláře výpravčího na nástupišti v km 30,055</t>
  </si>
  <si>
    <t>SO 01-15-08</t>
  </si>
  <si>
    <t>ŽST Tišnov, demolice technologických objektů</t>
  </si>
  <si>
    <t>SO 01-15-09</t>
  </si>
  <si>
    <t>ŽST Tišnov, vnitřní úpravy v budově TO</t>
  </si>
  <si>
    <t>SO 01-01-01</t>
  </si>
  <si>
    <t>ŽST Tišnov, trakční vedení</t>
  </si>
  <si>
    <t>SO 01-01-03</t>
  </si>
  <si>
    <t>ŽST Tišnov, připojení Tr pro zab. zař. na TV</t>
  </si>
  <si>
    <t>SO 01-01-04</t>
  </si>
  <si>
    <t>ŽST Tišnov, připojení Tr pro EPZ na TV</t>
  </si>
  <si>
    <t>SO 01-01-05</t>
  </si>
  <si>
    <t>ŽST Tišnov, zavěšení kabelu 6(22) kV na TV</t>
  </si>
  <si>
    <t>SO 01-01-06</t>
  </si>
  <si>
    <t>ŽST Tišnov, úpravy závěsného optického kabelu</t>
  </si>
  <si>
    <t>SO 02-01-01</t>
  </si>
  <si>
    <t>TÚ Kuřim - Tišnov, úprava trakčního vedení v km 28,4 – 29,3</t>
  </si>
  <si>
    <t>SO 01-06-01</t>
  </si>
  <si>
    <t>ŽST Tišnov, EOV</t>
  </si>
  <si>
    <t>SO 01-06-07</t>
  </si>
  <si>
    <t>ŽST Tišnov, kabelové rozvody pro EPZ</t>
  </si>
  <si>
    <t>SO 01-04-01</t>
  </si>
  <si>
    <t>ŽST Tišnov, rekonstrukce rozvodu 6kV</t>
  </si>
  <si>
    <t>SO 02-04-01</t>
  </si>
  <si>
    <t>TÚ Kuřim - Tišnov, rekonstrukce rozvodu 6kV</t>
  </si>
  <si>
    <t>SO 01-06-02</t>
  </si>
  <si>
    <t>ŽST Tišnov, úprava rozvodů nn</t>
  </si>
  <si>
    <t>SO 01-06-03</t>
  </si>
  <si>
    <t>ŽST Tišnov, venkovní osvětlení</t>
  </si>
  <si>
    <t>SO 01-06-04</t>
  </si>
  <si>
    <t>ŽST Tišnov, osvětlení nákladiště</t>
  </si>
  <si>
    <t>SO 01-06-05</t>
  </si>
  <si>
    <t>ŽST Tišnov, osvětlení nástupišť a podchodu</t>
  </si>
  <si>
    <t>SO 01-06-06</t>
  </si>
  <si>
    <t>ŽST Tišnov, DOÚO</t>
  </si>
  <si>
    <t>SO 01-06-08</t>
  </si>
  <si>
    <t>ŽST Tišnov, přeložky silnoproudých zařízení</t>
  </si>
  <si>
    <t>SO 01-01-02</t>
  </si>
  <si>
    <t>ŽST Tišnov, ukolejnění</t>
  </si>
  <si>
    <t>SO 02-01-02</t>
  </si>
  <si>
    <t>TÚ Kuřim - Tišnov, úprava ukolejnění v km 28,4 – 29,3</t>
  </si>
  <si>
    <t>SO 01-06-09</t>
  </si>
  <si>
    <t>ŽST Tišnov, uzemnění TS 25/0,4kV pro zab. zař.</t>
  </si>
  <si>
    <t>SO 01-06-10</t>
  </si>
  <si>
    <t>ŽST Tišnov, uzemnění nové provozní budovy</t>
  </si>
  <si>
    <t>SO 01-06-11</t>
  </si>
  <si>
    <t>ŽST Tišnov, uzemnění trafostanice pro EPZ</t>
  </si>
  <si>
    <t>Přehled provozních souborů a stavebních objektů s dělením nákladů dle druhu majetku (nefinancováno SŽDC s. o.)</t>
  </si>
  <si>
    <t>SO 01-06-41</t>
  </si>
  <si>
    <t xml:space="preserve">ŽST Tišnov, přeložky kabelových vedení nn EON </t>
  </si>
  <si>
    <t>SO 01-12-41</t>
  </si>
  <si>
    <t>ŽST Tišnov, přeložka kabelového vedení vn EON</t>
  </si>
  <si>
    <t>SO 01-12-42</t>
  </si>
  <si>
    <t>ŽST Tišnov, přeložka kabelových vedení vn EON u TS SŽDC</t>
  </si>
  <si>
    <t>postrk</t>
  </si>
  <si>
    <t>Základní provozní náklady - časová složka (CÚ 2017)</t>
  </si>
  <si>
    <t>Základní provozní náklady - dráhová složka (CÚ 2017)</t>
  </si>
  <si>
    <t>Měrný náklad
[Kč/oshod] (CÚ 2017)</t>
  </si>
  <si>
    <t>FNPV, ENPV    
v tis. Kč</t>
  </si>
  <si>
    <t>FRR, ERR</t>
  </si>
  <si>
    <t>Úspora PN vlaků</t>
  </si>
  <si>
    <t>Po</t>
  </si>
  <si>
    <t>Út - Čt</t>
  </si>
  <si>
    <t>Út – Čt</t>
  </si>
  <si>
    <t>250: úsek Kuřim – Tišnov (směr Tišnov)</t>
  </si>
  <si>
    <t>250: úsek Tišnov – Kuřim (směr Kuřim)</t>
  </si>
  <si>
    <t>250: úsek Tišnov – Řikonín (směr Řikonín)</t>
  </si>
  <si>
    <t>250: úsek Řikonín – Tišnov (směr Tišnov)</t>
  </si>
  <si>
    <t>48/34 *</t>
  </si>
  <si>
    <t>19/18 *</t>
  </si>
  <si>
    <t>20/19 *</t>
  </si>
  <si>
    <t>* školní rok/letní prázdniny</t>
  </si>
  <si>
    <t>251: úsek Nedvědice – Tišnov (směr Tišnov)</t>
  </si>
  <si>
    <t>251: úsek Tišnov – Nedvědice (směr Nedvědice)</t>
  </si>
  <si>
    <t>9/10 **</t>
  </si>
  <si>
    <t>8/9 **</t>
  </si>
  <si>
    <t>10/11 **</t>
  </si>
  <si>
    <t>7/8 **</t>
  </si>
  <si>
    <t>** zima/léto (duben-říjen)</t>
  </si>
  <si>
    <t>páry vlaků regionální osobní dopravy/den</t>
  </si>
  <si>
    <t>(1) - (4)</t>
  </si>
  <si>
    <t>(5)</t>
  </si>
  <si>
    <t>(6)</t>
  </si>
  <si>
    <t>(7)</t>
  </si>
  <si>
    <t>Kuřim - Tišnov (linka S3)</t>
  </si>
  <si>
    <t>Tišnov - Vlkov u Tišnova (linka S3)</t>
  </si>
  <si>
    <t>Tišnov - Nedvědice (linka S31)</t>
  </si>
  <si>
    <t>11 *</t>
  </si>
  <si>
    <r>
      <t xml:space="preserve">10 </t>
    </r>
    <r>
      <rPr>
        <vertAlign val="superscript"/>
        <sz val="9"/>
        <color theme="1"/>
        <rFont val="Arial Narrow"/>
        <family val="2"/>
        <charset val="238"/>
      </rPr>
      <t>+)</t>
    </r>
  </si>
  <si>
    <r>
      <t xml:space="preserve">9 </t>
    </r>
    <r>
      <rPr>
        <vertAlign val="superscript"/>
        <sz val="9"/>
        <color theme="1"/>
        <rFont val="Arial Narrow"/>
        <family val="2"/>
        <charset val="238"/>
      </rPr>
      <t>+)</t>
    </r>
  </si>
  <si>
    <t>Tišnov - Nedvědice (prodloužená linka S3 v nezávislé el. trakci)</t>
  </si>
  <si>
    <t>13/12</t>
  </si>
  <si>
    <t>počet dní v roce 2019:</t>
  </si>
  <si>
    <r>
      <t xml:space="preserve">Osobní - </t>
    </r>
    <r>
      <rPr>
        <i/>
        <sz val="9"/>
        <rFont val="Arial"/>
        <family val="2"/>
        <charset val="238"/>
      </rPr>
      <t>R</t>
    </r>
  </si>
  <si>
    <r>
      <t xml:space="preserve">Osobní - </t>
    </r>
    <r>
      <rPr>
        <i/>
        <sz val="9"/>
        <rFont val="Arial"/>
        <family val="2"/>
        <charset val="238"/>
      </rPr>
      <t>Sp</t>
    </r>
  </si>
  <si>
    <r>
      <t xml:space="preserve">Osobní - </t>
    </r>
    <r>
      <rPr>
        <i/>
        <sz val="9"/>
        <rFont val="Arial"/>
        <family val="2"/>
        <charset val="238"/>
      </rPr>
      <t>Os</t>
    </r>
  </si>
  <si>
    <t>2022-2054</t>
  </si>
  <si>
    <t>Nex</t>
  </si>
  <si>
    <t>250: úsek Řikonín – Kuřim (směr Kuřim)</t>
  </si>
  <si>
    <t>(1)</t>
  </si>
  <si>
    <t>(2)</t>
  </si>
  <si>
    <t>(3)</t>
  </si>
  <si>
    <t>(4)</t>
  </si>
  <si>
    <t>250: úsek Kuřim – Řikonín (směr Řikonín)</t>
  </si>
  <si>
    <t xml:space="preserve">Rok </t>
  </si>
  <si>
    <t>Roční průměrná denní intenzita</t>
  </si>
  <si>
    <t>Maximální variace</t>
  </si>
  <si>
    <t>předpoklad</t>
  </si>
  <si>
    <t>počet cestujících v 1 dálkovém vlaku (úsek Kuřim-Tišnov):</t>
  </si>
  <si>
    <t>počet cestujících v 1 dálkovém vlaku (úsek Tišnov-Řikonín):</t>
  </si>
  <si>
    <t>počet cestujících v 1 regionálním vlaku (úsek Kuřim-Tišnov):</t>
  </si>
  <si>
    <t>počet cestujících v 1 regionálním vlaku (úsek Tišnov-Řikonín):</t>
  </si>
  <si>
    <t>počet BUS (NAD)</t>
  </si>
  <si>
    <t>celkem 4</t>
  </si>
  <si>
    <t>počet cestujících v 1 regionálním vlaku (úsek Tišnov-Nedvědice):</t>
  </si>
  <si>
    <t>raději 2</t>
  </si>
  <si>
    <r>
      <rPr>
        <i/>
        <sz val="10"/>
        <color theme="1"/>
        <rFont val="Arial"/>
        <family val="2"/>
        <charset val="238"/>
      </rPr>
      <t>Os</t>
    </r>
    <r>
      <rPr>
        <sz val="10"/>
        <color theme="1"/>
        <rFont val="Arial"/>
        <family val="2"/>
        <charset val="238"/>
      </rPr>
      <t xml:space="preserve"> (250)</t>
    </r>
  </si>
  <si>
    <r>
      <rPr>
        <i/>
        <sz val="10"/>
        <color theme="1"/>
        <rFont val="Arial"/>
        <family val="2"/>
        <charset val="238"/>
      </rPr>
      <t>Sp</t>
    </r>
    <r>
      <rPr>
        <sz val="10"/>
        <color theme="1"/>
        <rFont val="Arial"/>
        <family val="2"/>
        <charset val="238"/>
      </rPr>
      <t xml:space="preserve"> (250)</t>
    </r>
  </si>
  <si>
    <r>
      <rPr>
        <i/>
        <sz val="10"/>
        <color theme="1"/>
        <rFont val="Arial"/>
        <family val="2"/>
        <charset val="238"/>
      </rPr>
      <t>R</t>
    </r>
    <r>
      <rPr>
        <sz val="10"/>
        <color theme="1"/>
        <rFont val="Arial"/>
        <family val="2"/>
        <charset val="238"/>
      </rPr>
      <t xml:space="preserve"> (250)</t>
    </r>
  </si>
  <si>
    <r>
      <rPr>
        <i/>
        <sz val="10"/>
        <color theme="1"/>
        <rFont val="Arial"/>
        <family val="2"/>
        <charset val="238"/>
      </rPr>
      <t>Os</t>
    </r>
    <r>
      <rPr>
        <sz val="10"/>
        <color theme="1"/>
        <rFont val="Arial"/>
        <family val="2"/>
        <charset val="238"/>
      </rPr>
      <t xml:space="preserve"> (251)</t>
    </r>
  </si>
  <si>
    <r>
      <rPr>
        <i/>
        <sz val="10"/>
        <color theme="1"/>
        <rFont val="Arial"/>
        <family val="2"/>
        <charset val="238"/>
      </rPr>
      <t>Sp</t>
    </r>
    <r>
      <rPr>
        <sz val="10"/>
        <color theme="1"/>
        <rFont val="Arial"/>
        <family val="2"/>
        <charset val="238"/>
      </rPr>
      <t xml:space="preserve"> (251)</t>
    </r>
  </si>
  <si>
    <r>
      <rPr>
        <i/>
        <sz val="10"/>
        <color theme="1"/>
        <rFont val="Arial"/>
        <family val="2"/>
        <charset val="238"/>
      </rPr>
      <t>Pn</t>
    </r>
    <r>
      <rPr>
        <sz val="10"/>
        <color theme="1"/>
        <rFont val="Arial"/>
        <family val="2"/>
        <charset val="238"/>
      </rPr>
      <t xml:space="preserve"> (1200 t)</t>
    </r>
  </si>
  <si>
    <r>
      <rPr>
        <i/>
        <sz val="10"/>
        <color theme="1"/>
        <rFont val="Arial"/>
        <family val="2"/>
        <charset val="238"/>
      </rPr>
      <t>Nex</t>
    </r>
    <r>
      <rPr>
        <sz val="10"/>
        <color theme="1"/>
        <rFont val="Arial"/>
        <family val="2"/>
        <charset val="238"/>
      </rPr>
      <t xml:space="preserve"> (1200 t)</t>
    </r>
  </si>
  <si>
    <r>
      <rPr>
        <i/>
        <sz val="10"/>
        <color theme="1"/>
        <rFont val="Arial"/>
        <family val="2"/>
        <charset val="238"/>
      </rPr>
      <t>Pn</t>
    </r>
    <r>
      <rPr>
        <sz val="10"/>
        <color theme="1"/>
        <rFont val="Arial"/>
        <family val="2"/>
        <charset val="238"/>
      </rPr>
      <t xml:space="preserve"> (1000 t)</t>
    </r>
  </si>
  <si>
    <r>
      <rPr>
        <i/>
        <sz val="10"/>
        <color theme="1"/>
        <rFont val="Arial"/>
        <family val="2"/>
        <charset val="238"/>
      </rPr>
      <t>Pn</t>
    </r>
    <r>
      <rPr>
        <sz val="10"/>
        <color theme="1"/>
        <rFont val="Arial"/>
        <family val="2"/>
        <charset val="238"/>
      </rPr>
      <t xml:space="preserve"> (1600 t)</t>
    </r>
  </si>
  <si>
    <r>
      <rPr>
        <i/>
        <sz val="10"/>
        <color theme="1"/>
        <rFont val="Arial"/>
        <family val="2"/>
        <charset val="238"/>
      </rPr>
      <t>Nex</t>
    </r>
    <r>
      <rPr>
        <sz val="10"/>
        <color theme="1"/>
        <rFont val="Arial"/>
        <family val="2"/>
        <charset val="238"/>
      </rPr>
      <t xml:space="preserve"> (2100 t)</t>
    </r>
  </si>
  <si>
    <r>
      <rPr>
        <i/>
        <sz val="10"/>
        <color theme="1"/>
        <rFont val="Arial"/>
        <family val="2"/>
        <charset val="238"/>
      </rPr>
      <t>Mn</t>
    </r>
    <r>
      <rPr>
        <sz val="10"/>
        <color theme="1"/>
        <rFont val="Arial"/>
        <family val="2"/>
        <charset val="238"/>
      </rPr>
      <t xml:space="preserve"> (251)</t>
    </r>
  </si>
  <si>
    <r>
      <rPr>
        <i/>
        <sz val="10"/>
        <color theme="1"/>
        <rFont val="Arial"/>
        <family val="2"/>
        <charset val="238"/>
      </rPr>
      <t>L</t>
    </r>
    <r>
      <rPr>
        <sz val="10"/>
        <color theme="1"/>
        <rFont val="Arial"/>
        <family val="2"/>
        <charset val="238"/>
      </rPr>
      <t xml:space="preserve"> - rok 2020
[km]</t>
    </r>
  </si>
  <si>
    <r>
      <rPr>
        <i/>
        <sz val="10"/>
        <color theme="1"/>
        <rFont val="Arial"/>
        <family val="2"/>
        <charset val="238"/>
      </rPr>
      <t>Z</t>
    </r>
    <r>
      <rPr>
        <sz val="10"/>
        <color theme="1"/>
        <rFont val="Arial"/>
        <family val="2"/>
        <charset val="238"/>
      </rPr>
      <t xml:space="preserve">
[Kč]</t>
    </r>
  </si>
  <si>
    <r>
      <rPr>
        <i/>
        <sz val="10"/>
        <color theme="1"/>
        <rFont val="Arial"/>
        <family val="2"/>
        <charset val="238"/>
      </rPr>
      <t>K</t>
    </r>
    <r>
      <rPr>
        <sz val="10"/>
        <color theme="1"/>
        <rFont val="Arial"/>
        <family val="2"/>
        <charset val="238"/>
      </rPr>
      <t xml:space="preserve">
[-]</t>
    </r>
  </si>
  <si>
    <r>
      <rPr>
        <i/>
        <sz val="10"/>
        <color theme="1"/>
        <rFont val="Arial"/>
        <family val="2"/>
        <charset val="238"/>
      </rPr>
      <t>Px</t>
    </r>
    <r>
      <rPr>
        <sz val="10"/>
        <color theme="1"/>
        <rFont val="Arial"/>
        <family val="2"/>
        <charset val="238"/>
      </rPr>
      <t xml:space="preserve">
[-]</t>
    </r>
  </si>
  <si>
    <r>
      <rPr>
        <i/>
        <sz val="10"/>
        <color theme="1"/>
        <rFont val="Arial"/>
        <family val="2"/>
        <charset val="238"/>
      </rPr>
      <t>S1</t>
    </r>
    <r>
      <rPr>
        <sz val="10"/>
        <color theme="1"/>
        <rFont val="Arial"/>
        <family val="2"/>
        <charset val="238"/>
      </rPr>
      <t xml:space="preserve">
[-]</t>
    </r>
  </si>
  <si>
    <r>
      <rPr>
        <i/>
        <sz val="10"/>
        <color theme="1"/>
        <rFont val="Arial"/>
        <family val="2"/>
        <charset val="238"/>
      </rPr>
      <t>S2</t>
    </r>
    <r>
      <rPr>
        <sz val="10"/>
        <color theme="1"/>
        <rFont val="Arial"/>
        <family val="2"/>
        <charset val="238"/>
      </rPr>
      <t xml:space="preserve">
[-]</t>
    </r>
  </si>
  <si>
    <r>
      <t>C</t>
    </r>
    <r>
      <rPr>
        <vertAlign val="subscript"/>
        <sz val="10"/>
        <color theme="0" tint="-0.249977111117893"/>
        <rFont val="Arial"/>
        <family val="2"/>
        <charset val="238"/>
      </rPr>
      <t>V</t>
    </r>
    <r>
      <rPr>
        <sz val="10"/>
        <color theme="0" tint="-0.249977111117893"/>
        <rFont val="Arial"/>
        <family val="2"/>
        <charset val="238"/>
      </rPr>
      <t xml:space="preserve"> - rok 2020
[Kč]</t>
    </r>
  </si>
  <si>
    <r>
      <rPr>
        <i/>
        <sz val="10"/>
        <rFont val="Arial"/>
        <family val="2"/>
        <charset val="238"/>
      </rPr>
      <t>Nz</t>
    </r>
    <r>
      <rPr>
        <sz val="10"/>
        <rFont val="Arial"/>
        <family val="2"/>
        <charset val="238"/>
      </rPr>
      <t xml:space="preserve">
[-]</t>
    </r>
  </si>
  <si>
    <r>
      <rPr>
        <i/>
        <sz val="10"/>
        <rFont val="Arial"/>
        <family val="2"/>
        <charset val="238"/>
      </rPr>
      <t>Z</t>
    </r>
    <r>
      <rPr>
        <i/>
        <vertAlign val="subscript"/>
        <sz val="10"/>
        <rFont val="Arial"/>
        <family val="2"/>
        <charset val="238"/>
      </rPr>
      <t>PK</t>
    </r>
    <r>
      <rPr>
        <vertAlign val="sub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[Kč/zastavení]</t>
    </r>
  </si>
  <si>
    <r>
      <rPr>
        <i/>
        <sz val="10"/>
        <rFont val="Arial"/>
        <family val="2"/>
        <charset val="238"/>
      </rPr>
      <t>m</t>
    </r>
    <r>
      <rPr>
        <i/>
        <vertAlign val="subscript"/>
        <sz val="10"/>
        <rFont val="Arial"/>
        <family val="2"/>
        <charset val="238"/>
      </rPr>
      <t>PK</t>
    </r>
    <r>
      <rPr>
        <sz val="10"/>
        <rFont val="Arial"/>
        <family val="2"/>
        <charset val="238"/>
      </rPr>
      <t xml:space="preserve">
[t]</t>
    </r>
  </si>
  <si>
    <r>
      <rPr>
        <i/>
        <sz val="10"/>
        <rFont val="Arial"/>
        <family val="2"/>
        <charset val="238"/>
      </rPr>
      <t>k</t>
    </r>
    <r>
      <rPr>
        <i/>
        <vertAlign val="subscript"/>
        <sz val="10"/>
        <rFont val="Arial"/>
        <family val="2"/>
        <charset val="238"/>
      </rPr>
      <t>PK</t>
    </r>
    <r>
      <rPr>
        <sz val="10"/>
        <rFont val="Arial"/>
        <family val="2"/>
        <charset val="238"/>
      </rPr>
      <t xml:space="preserve">
[-]</t>
    </r>
  </si>
  <si>
    <r>
      <rPr>
        <i/>
        <sz val="10"/>
        <color theme="0" tint="-0.499984740745262"/>
        <rFont val="Arial"/>
        <family val="2"/>
        <charset val="238"/>
      </rPr>
      <t>C</t>
    </r>
    <r>
      <rPr>
        <i/>
        <vertAlign val="subscript"/>
        <sz val="10"/>
        <color theme="0" tint="-0.499984740745262"/>
        <rFont val="Arial"/>
        <family val="2"/>
        <charset val="238"/>
      </rPr>
      <t>PK</t>
    </r>
    <r>
      <rPr>
        <sz val="10"/>
        <color theme="0" tint="-0.499984740745262"/>
        <rFont val="Arial"/>
        <family val="2"/>
        <charset val="238"/>
      </rPr>
      <t xml:space="preserve">
[Kč]</t>
    </r>
  </si>
  <si>
    <t>2021 - 2054</t>
  </si>
  <si>
    <t>(stavba končí v 2026)</t>
  </si>
  <si>
    <t>nástupiště, PHS</t>
  </si>
  <si>
    <t>2054- oprava</t>
  </si>
  <si>
    <t>2053 - oprava</t>
  </si>
  <si>
    <t>2054 - oprava</t>
  </si>
  <si>
    <t>AKTUÁLNÍ CENY</t>
  </si>
  <si>
    <t>! Je uvažováno s obdobím realizace - jestli spadá do střednědobého nebo dlouhodobého výhledu</t>
  </si>
  <si>
    <t>a PHS</t>
  </si>
  <si>
    <t>Měrný náklad [Kč/oshod] (CÚ 2020)</t>
  </si>
  <si>
    <t>Hodnota času [Kč/oshod] (CÚ 2020)</t>
  </si>
  <si>
    <t>Základní provozní náklady - časová složka (CÚ 2020)</t>
  </si>
  <si>
    <t>ZPN (Bez projektu, 
2025–2026)
[Kč]</t>
  </si>
  <si>
    <t>ZPN (S projektem,
2025–2026)
[Kč]</t>
  </si>
  <si>
    <t>ZPN (Bez projektu, 
2027)
[Kč]</t>
  </si>
  <si>
    <t>ZPN (S projektem,
2027)
[Kč]</t>
  </si>
  <si>
    <t>ZPN (Bez projektu, 
2028–2054)
[Kč]</t>
  </si>
  <si>
    <t>ZPN (S projektem,
2028–2054)
[Kč]</t>
  </si>
  <si>
    <t>Základní provozní náklady - dráhová složka (CÚ 2020)</t>
  </si>
  <si>
    <r>
      <t xml:space="preserve">končící Os </t>
    </r>
    <r>
      <rPr>
        <b/>
        <i/>
        <sz val="10"/>
        <color theme="1"/>
        <rFont val="Arial"/>
        <family val="2"/>
        <charset val="238"/>
      </rPr>
      <t>(úsek Kuřim - Tišnov)</t>
    </r>
  </si>
  <si>
    <r>
      <t xml:space="preserve">pokračující Os </t>
    </r>
    <r>
      <rPr>
        <b/>
        <i/>
        <sz val="10"/>
        <color theme="1"/>
        <rFont val="Arial"/>
        <family val="2"/>
        <charset val="238"/>
      </rPr>
      <t>(úsek Tišnov - Řikonín)</t>
    </r>
  </si>
  <si>
    <t>úsek Kuřim - Řikonín</t>
  </si>
  <si>
    <t>úsek Kuřim - Tišnov</t>
  </si>
  <si>
    <r>
      <t xml:space="preserve">Sp </t>
    </r>
    <r>
      <rPr>
        <b/>
        <i/>
        <sz val="10"/>
        <color theme="1"/>
        <rFont val="Arial"/>
        <family val="2"/>
        <charset val="238"/>
      </rPr>
      <t>(úsek Kuřim - Tišnov)</t>
    </r>
  </si>
  <si>
    <r>
      <t xml:space="preserve">R </t>
    </r>
    <r>
      <rPr>
        <b/>
        <i/>
        <sz val="10"/>
        <color theme="1"/>
        <rFont val="Arial"/>
        <family val="2"/>
        <charset val="238"/>
      </rPr>
      <t>(úsek Kuřim - Řikonín)</t>
    </r>
  </si>
  <si>
    <t>úsek Kuřim - Tišnov (pro R)</t>
  </si>
  <si>
    <t>úsek Kuřim - Tišnov (pro Os)</t>
  </si>
  <si>
    <t>úsek Tišnov - Řikonín (pro Os)</t>
  </si>
  <si>
    <t>inflace</t>
  </si>
  <si>
    <t>Náklady celkem</t>
  </si>
  <si>
    <t>za rok 2015 odečteno 360 tis., za rok 2016 odečteno 2,1 mil.</t>
  </si>
  <si>
    <t>ZKONTROLOVAT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</si>
</sst>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K_č_-;\-* #,##0.00\ _K_č_-;_-* &quot;-&quot;??\ _K_č_-;_-@_-"/>
    <numFmt numFmtId="165" formatCode="&quot;DPH&quot;\ 0.0,%"/>
    <numFmt numFmtId="166" formatCode="#,##0_-;#,##0\-;&quot; &quot;"/>
    <numFmt numFmtId="167" formatCode="0.000"/>
    <numFmt numFmtId="168" formatCode="#,##0.000"/>
    <numFmt numFmtId="169" formatCode="0.0"/>
    <numFmt numFmtId="170" formatCode="#,##0.0"/>
    <numFmt numFmtId="171" formatCode="#,##0\ &quot;Kč&quot;"/>
    <numFmt numFmtId="172" formatCode="_-* #,##0.00\ _S_k_-;\-* #,##0.00\ _S_k_-;_-* &quot;-&quot;??\ _S_k_-;_-@_-"/>
    <numFmt numFmtId="173" formatCode="0.0000"/>
    <numFmt numFmtId="174" formatCode="0.00000"/>
    <numFmt numFmtId="175" formatCode="_-* #,##0\ _K_č_-;\-* #,##0\ _K_č_-;_-* &quot;-&quot;??\ _K_č_-;_-@_-"/>
    <numFmt numFmtId="176" formatCode="_-* #,##0.000\ _K_č_-;\-* #,##0.000\ _K_č_-;_-* &quot;-&quot;??\ _K_č_-;_-@_-"/>
    <numFmt numFmtId="177" formatCode="00&quot; %  z mezd&quot;"/>
    <numFmt numFmtId="178" formatCode="#,##0.000000"/>
  </numFmts>
  <fonts count="12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Arial Narrow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0"/>
      <color indexed="12"/>
      <name val="MS Sans Serif"/>
      <family val="2"/>
    </font>
    <font>
      <sz val="10"/>
      <name val="Arial CE"/>
      <charset val="238"/>
    </font>
    <font>
      <b/>
      <sz val="10"/>
      <name val="Segoe UI"/>
      <family val="2"/>
      <charset val="238"/>
    </font>
    <font>
      <sz val="10"/>
      <color rgb="FF00B0F0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rgb="FF92D05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8"/>
      <color rgb="FFFF0000"/>
      <name val="Century Gothic"/>
      <family val="2"/>
      <charset val="238"/>
    </font>
    <font>
      <sz val="9"/>
      <name val="Century Gothic"/>
      <family val="2"/>
      <charset val="238"/>
    </font>
    <font>
      <sz val="9"/>
      <color indexed="8"/>
      <name val="Century Gothic"/>
      <family val="2"/>
      <charset val="238"/>
    </font>
    <font>
      <sz val="10"/>
      <color rgb="FF7030A0"/>
      <name val="Arial"/>
      <family val="2"/>
      <charset val="238"/>
    </font>
    <font>
      <sz val="10"/>
      <color rgb="FF92D050"/>
      <name val="Arial"/>
      <family val="2"/>
      <charset val="238"/>
    </font>
    <font>
      <b/>
      <strike/>
      <sz val="11"/>
      <name val="Arial"/>
      <family val="2"/>
    </font>
    <font>
      <strike/>
      <sz val="9"/>
      <name val="Arial"/>
      <family val="2"/>
    </font>
    <font>
      <strike/>
      <sz val="8"/>
      <name val="Arial"/>
      <family val="2"/>
    </font>
    <font>
      <b/>
      <strike/>
      <sz val="10"/>
      <name val="Arial"/>
      <family val="2"/>
      <charset val="238"/>
    </font>
    <font>
      <strike/>
      <sz val="1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sz val="9"/>
      <color rgb="FF7030A0"/>
      <name val="Arial"/>
      <family val="2"/>
      <charset val="238"/>
    </font>
    <font>
      <i/>
      <sz val="9"/>
      <name val="Arial"/>
      <family val="2"/>
      <charset val="238"/>
    </font>
    <font>
      <strike/>
      <sz val="10"/>
      <color rgb="FF7030A0"/>
      <name val="Arial"/>
      <family val="2"/>
      <charset val="238"/>
    </font>
    <font>
      <i/>
      <u val="singleAccounting"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i/>
      <sz val="10"/>
      <color theme="0" tint="-0.34998626667073579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10"/>
      <name val="Arial CE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i/>
      <sz val="11"/>
      <color theme="1"/>
      <name val="Arial Narrow"/>
      <family val="2"/>
      <charset val="238"/>
    </font>
    <font>
      <sz val="10"/>
      <color theme="0" tint="-0.249977111117893"/>
      <name val="Arial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</font>
    <font>
      <b/>
      <sz val="9"/>
      <color indexed="81"/>
      <name val="Tahoma"/>
      <family val="2"/>
      <charset val="238"/>
    </font>
    <font>
      <vertAlign val="subscript"/>
      <sz val="10"/>
      <color theme="0" tint="-0.249977111117893"/>
      <name val="Arial"/>
      <family val="2"/>
      <charset val="238"/>
    </font>
    <font>
      <i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i/>
      <vertAlign val="subscript"/>
      <sz val="10"/>
      <color theme="0" tint="-0.499984740745262"/>
      <name val="Arial"/>
      <family val="2"/>
      <charset val="238"/>
    </font>
    <font>
      <b/>
      <u/>
      <sz val="10"/>
      <color rgb="FF7030A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9"/>
      <color theme="0" tint="-0.34998626667073579"/>
      <name val="Arial"/>
      <family val="2"/>
      <charset val="238"/>
    </font>
    <font>
      <b/>
      <sz val="10"/>
      <color theme="0" tint="-0.499984740745262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thin">
        <color rgb="FF3F3F3F"/>
      </right>
      <top style="double">
        <color rgb="FF3F3F3F"/>
      </top>
      <bottom style="double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54">
    <xf numFmtId="0" fontId="0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11" fillId="0" borderId="0"/>
    <xf numFmtId="0" fontId="6" fillId="0" borderId="0"/>
    <xf numFmtId="9" fontId="12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  <xf numFmtId="0" fontId="6" fillId="0" borderId="0"/>
    <xf numFmtId="3" fontId="13" fillId="7" borderId="11" applyBorder="0" applyProtection="0"/>
    <xf numFmtId="3" fontId="15" fillId="6" borderId="60" applyBorder="0" applyProtection="0"/>
    <xf numFmtId="9" fontId="6" fillId="0" borderId="0" applyFont="0" applyFill="0" applyBorder="0" applyAlignment="0" applyProtection="0"/>
    <xf numFmtId="0" fontId="6" fillId="0" borderId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0" borderId="63" applyNumberFormat="0" applyFill="0" applyAlignment="0" applyProtection="0"/>
    <xf numFmtId="0" fontId="32" fillId="0" borderId="63" applyNumberFormat="0" applyFill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4" fillId="22" borderId="64" applyNumberFormat="0" applyAlignment="0" applyProtection="0"/>
    <xf numFmtId="0" fontId="34" fillId="22" borderId="64" applyNumberFormat="0" applyAlignment="0" applyProtection="0"/>
    <xf numFmtId="0" fontId="35" fillId="0" borderId="65" applyNumberFormat="0" applyFill="0" applyAlignment="0" applyProtection="0"/>
    <xf numFmtId="0" fontId="35" fillId="0" borderId="65" applyNumberFormat="0" applyFill="0" applyAlignment="0" applyProtection="0"/>
    <xf numFmtId="0" fontId="36" fillId="0" borderId="66" applyNumberFormat="0" applyFill="0" applyAlignment="0" applyProtection="0"/>
    <xf numFmtId="0" fontId="36" fillId="0" borderId="66" applyNumberFormat="0" applyFill="0" applyAlignment="0" applyProtection="0"/>
    <xf numFmtId="0" fontId="37" fillId="0" borderId="67" applyNumberFormat="0" applyFill="0" applyAlignment="0" applyProtection="0"/>
    <xf numFmtId="0" fontId="37" fillId="0" borderId="6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24" borderId="68" applyNumberFormat="0" applyFont="0" applyAlignment="0" applyProtection="0"/>
    <xf numFmtId="0" fontId="6" fillId="24" borderId="68" applyNumberFormat="0" applyFont="0" applyAlignment="0" applyProtection="0"/>
    <xf numFmtId="0" fontId="40" fillId="0" borderId="69" applyNumberFormat="0" applyFill="0" applyAlignment="0" applyProtection="0"/>
    <xf numFmtId="0" fontId="40" fillId="0" borderId="69" applyNumberFormat="0" applyFill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13" borderId="70" applyNumberFormat="0" applyAlignment="0" applyProtection="0"/>
    <xf numFmtId="0" fontId="43" fillId="13" borderId="70" applyNumberFormat="0" applyAlignment="0" applyProtection="0"/>
    <xf numFmtId="0" fontId="44" fillId="25" borderId="70" applyNumberFormat="0" applyAlignment="0" applyProtection="0"/>
    <xf numFmtId="0" fontId="44" fillId="25" borderId="70" applyNumberFormat="0" applyAlignment="0" applyProtection="0"/>
    <xf numFmtId="0" fontId="45" fillId="25" borderId="71" applyNumberFormat="0" applyAlignment="0" applyProtection="0"/>
    <xf numFmtId="0" fontId="45" fillId="25" borderId="71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5" fillId="0" borderId="0"/>
    <xf numFmtId="0" fontId="5" fillId="0" borderId="0"/>
    <xf numFmtId="0" fontId="53" fillId="30" borderId="0" applyNumberFormat="0" applyBorder="0" applyAlignment="0" applyProtection="0"/>
    <xf numFmtId="0" fontId="6" fillId="0" borderId="0"/>
    <xf numFmtId="3" fontId="56" fillId="0" borderId="29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5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7" fillId="0" borderId="0" applyFont="0" applyFill="0" applyBorder="0" applyAlignment="0" applyProtection="0"/>
    <xf numFmtId="3" fontId="56" fillId="0" borderId="0" applyFill="0" applyBorder="0" applyAlignment="0" applyProtection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58" fillId="0" borderId="0"/>
    <xf numFmtId="0" fontId="6" fillId="0" borderId="1"/>
    <xf numFmtId="164" fontId="11" fillId="0" borderId="0" applyFont="0" applyFill="0" applyBorder="0" applyAlignment="0" applyProtection="0"/>
    <xf numFmtId="0" fontId="6" fillId="0" borderId="0"/>
    <xf numFmtId="0" fontId="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24" borderId="68" applyNumberFormat="0" applyFont="0" applyAlignment="0" applyProtection="0"/>
    <xf numFmtId="164" fontId="11" fillId="0" borderId="0" applyFont="0" applyFill="0" applyBorder="0" applyAlignment="0" applyProtection="0"/>
  </cellStyleXfs>
  <cellXfs count="12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Border="1"/>
    <xf numFmtId="0" fontId="17" fillId="0" borderId="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Fill="1" applyBorder="1" applyAlignment="1"/>
    <xf numFmtId="1" fontId="2" fillId="0" borderId="0" xfId="0" applyNumberFormat="1" applyFont="1" applyFill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/>
    </xf>
    <xf numFmtId="0" fontId="20" fillId="3" borderId="11" xfId="0" applyFont="1" applyFill="1" applyBorder="1" applyAlignment="1">
      <alignment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23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2" fillId="0" borderId="0" xfId="0" applyFont="1" applyFill="1" applyBorder="1" applyAlignment="1" applyProtection="1"/>
    <xf numFmtId="3" fontId="22" fillId="0" borderId="0" xfId="0" applyNumberFormat="1" applyFont="1" applyFill="1" applyBorder="1" applyAlignment="1" applyProtection="1"/>
    <xf numFmtId="0" fontId="24" fillId="0" borderId="0" xfId="0" applyFont="1" applyFill="1" applyBorder="1" applyAlignment="1" applyProtection="1"/>
    <xf numFmtId="3" fontId="24" fillId="0" borderId="0" xfId="0" applyNumberFormat="1" applyFont="1" applyFill="1" applyBorder="1" applyAlignment="1" applyProtection="1"/>
    <xf numFmtId="3" fontId="6" fillId="2" borderId="1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69" fontId="0" fillId="0" borderId="0" xfId="0" applyNumberFormat="1"/>
    <xf numFmtId="0" fontId="27" fillId="0" borderId="0" xfId="0" applyFont="1"/>
    <xf numFmtId="0" fontId="26" fillId="0" borderId="0" xfId="0" applyFont="1"/>
    <xf numFmtId="9" fontId="26" fillId="0" borderId="59" xfId="0" applyNumberFormat="1" applyFont="1" applyFill="1" applyBorder="1"/>
    <xf numFmtId="9" fontId="26" fillId="0" borderId="19" xfId="0" applyNumberFormat="1" applyFont="1" applyFill="1" applyBorder="1"/>
    <xf numFmtId="10" fontId="26" fillId="0" borderId="20" xfId="0" applyNumberFormat="1" applyFont="1" applyFill="1" applyBorder="1"/>
    <xf numFmtId="0" fontId="26" fillId="0" borderId="47" xfId="0" applyFont="1" applyFill="1" applyBorder="1"/>
    <xf numFmtId="0" fontId="26" fillId="0" borderId="45" xfId="0" applyFont="1" applyFill="1" applyBorder="1"/>
    <xf numFmtId="0" fontId="26" fillId="0" borderId="46" xfId="0" applyFont="1" applyFill="1" applyBorder="1"/>
    <xf numFmtId="0" fontId="26" fillId="0" borderId="0" xfId="0" applyFont="1" applyFill="1" applyBorder="1"/>
    <xf numFmtId="2" fontId="26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4" borderId="8" xfId="0" applyFill="1" applyBorder="1"/>
    <xf numFmtId="0" fontId="0" fillId="4" borderId="34" xfId="0" applyFill="1" applyBorder="1"/>
    <xf numFmtId="0" fontId="0" fillId="4" borderId="48" xfId="0" applyFill="1" applyBorder="1"/>
    <xf numFmtId="0" fontId="0" fillId="4" borderId="53" xfId="0" applyFill="1" applyBorder="1"/>
    <xf numFmtId="0" fontId="0" fillId="4" borderId="57" xfId="0" applyFill="1" applyBorder="1"/>
    <xf numFmtId="0" fontId="2" fillId="0" borderId="27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4" borderId="54" xfId="0" applyFill="1" applyBorder="1"/>
    <xf numFmtId="0" fontId="0" fillId="4" borderId="22" xfId="0" applyFill="1" applyBorder="1"/>
    <xf numFmtId="0" fontId="0" fillId="4" borderId="10" xfId="0" applyFill="1" applyBorder="1"/>
    <xf numFmtId="1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 applyBorder="1" applyAlignment="1"/>
    <xf numFmtId="3" fontId="2" fillId="0" borderId="0" xfId="0" applyNumberFormat="1" applyFont="1" applyFill="1" applyBorder="1" applyAlignment="1">
      <alignment horizontal="right" vertical="center"/>
    </xf>
    <xf numFmtId="3" fontId="2" fillId="0" borderId="19" xfId="0" applyNumberFormat="1" applyFont="1" applyFill="1" applyBorder="1" applyAlignment="1">
      <alignment horizontal="right" vertical="center"/>
    </xf>
    <xf numFmtId="0" fontId="2" fillId="0" borderId="73" xfId="0" applyFont="1" applyFill="1" applyBorder="1" applyAlignment="1">
      <alignment horizontal="center" vertical="center"/>
    </xf>
    <xf numFmtId="0" fontId="0" fillId="0" borderId="0" xfId="0"/>
    <xf numFmtId="0" fontId="17" fillId="4" borderId="0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4" borderId="0" xfId="0" applyFont="1" applyFill="1" applyBorder="1" applyAlignment="1">
      <alignment horizontal="left" vertical="center"/>
    </xf>
    <xf numFmtId="0" fontId="20" fillId="4" borderId="15" xfId="0" applyFont="1" applyFill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right" vertical="center"/>
    </xf>
    <xf numFmtId="2" fontId="6" fillId="4" borderId="1" xfId="0" applyNumberFormat="1" applyFont="1" applyFill="1" applyBorder="1" applyAlignment="1">
      <alignment horizontal="center" vertical="center"/>
    </xf>
    <xf numFmtId="167" fontId="6" fillId="4" borderId="8" xfId="0" applyNumberFormat="1" applyFont="1" applyFill="1" applyBorder="1" applyAlignment="1">
      <alignment vertical="center"/>
    </xf>
    <xf numFmtId="0" fontId="2" fillId="4" borderId="26" xfId="0" applyFont="1" applyFill="1" applyBorder="1" applyAlignment="1">
      <alignment horizontal="center" vertical="center"/>
    </xf>
    <xf numFmtId="2" fontId="6" fillId="4" borderId="19" xfId="0" applyNumberFormat="1" applyFont="1" applyFill="1" applyBorder="1" applyAlignment="1">
      <alignment horizontal="right" vertical="center"/>
    </xf>
    <xf numFmtId="2" fontId="6" fillId="4" borderId="19" xfId="0" applyNumberFormat="1" applyFont="1" applyFill="1" applyBorder="1" applyAlignment="1">
      <alignment horizontal="center" vertical="center"/>
    </xf>
    <xf numFmtId="167" fontId="6" fillId="4" borderId="1" xfId="0" applyNumberFormat="1" applyFont="1" applyFill="1" applyBorder="1" applyAlignment="1">
      <alignment vertical="center"/>
    </xf>
    <xf numFmtId="2" fontId="2" fillId="4" borderId="27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vertical="center"/>
    </xf>
    <xf numFmtId="0" fontId="2" fillId="4" borderId="7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right" vertical="center"/>
    </xf>
    <xf numFmtId="167" fontId="2" fillId="4" borderId="8" xfId="0" applyNumberFormat="1" applyFont="1" applyFill="1" applyBorder="1" applyAlignment="1">
      <alignment vertical="center"/>
    </xf>
    <xf numFmtId="167" fontId="1" fillId="4" borderId="2" xfId="0" applyNumberFormat="1" applyFont="1" applyFill="1" applyBorder="1" applyAlignment="1">
      <alignment vertical="center"/>
    </xf>
    <xf numFmtId="0" fontId="0" fillId="4" borderId="0" xfId="0" applyFill="1"/>
    <xf numFmtId="0" fontId="20" fillId="4" borderId="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2" fontId="2" fillId="4" borderId="9" xfId="0" applyNumberFormat="1" applyFont="1" applyFill="1" applyBorder="1" applyAlignment="1">
      <alignment vertical="center"/>
    </xf>
    <xf numFmtId="2" fontId="2" fillId="4" borderId="0" xfId="0" applyNumberFormat="1" applyFont="1" applyFill="1" applyBorder="1" applyAlignment="1">
      <alignment horizontal="center" vertical="center"/>
    </xf>
    <xf numFmtId="167" fontId="2" fillId="4" borderId="0" xfId="0" applyNumberFormat="1" applyFont="1" applyFill="1" applyBorder="1" applyAlignment="1">
      <alignment vertical="center"/>
    </xf>
    <xf numFmtId="0" fontId="16" fillId="0" borderId="0" xfId="0" applyFont="1"/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4" fillId="4" borderId="26" xfId="0" applyFont="1" applyFill="1" applyBorder="1"/>
    <xf numFmtId="0" fontId="14" fillId="4" borderId="27" xfId="0" applyFont="1" applyFill="1" applyBorder="1" applyAlignment="1">
      <alignment horizontal="center"/>
    </xf>
    <xf numFmtId="14" fontId="14" fillId="4" borderId="27" xfId="0" applyNumberFormat="1" applyFont="1" applyFill="1" applyBorder="1" applyAlignment="1">
      <alignment horizontal="center"/>
    </xf>
    <xf numFmtId="0" fontId="14" fillId="4" borderId="24" xfId="0" applyFont="1" applyFill="1" applyBorder="1" applyAlignment="1">
      <alignment horizontal="center"/>
    </xf>
    <xf numFmtId="0" fontId="21" fillId="4" borderId="7" xfId="0" applyFont="1" applyFill="1" applyBorder="1"/>
    <xf numFmtId="0" fontId="14" fillId="4" borderId="1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7" xfId="0" applyFont="1" applyFill="1" applyBorder="1"/>
    <xf numFmtId="0" fontId="14" fillId="4" borderId="6" xfId="0" applyFont="1" applyFill="1" applyBorder="1"/>
    <xf numFmtId="0" fontId="14" fillId="4" borderId="9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0" xfId="0" applyFont="1" applyFill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right" vertical="center"/>
    </xf>
    <xf numFmtId="3" fontId="2" fillId="0" borderId="24" xfId="0" applyNumberFormat="1" applyFont="1" applyFill="1" applyBorder="1" applyAlignment="1">
      <alignment horizontal="right" vertical="center"/>
    </xf>
    <xf numFmtId="0" fontId="26" fillId="2" borderId="11" xfId="0" applyFont="1" applyFill="1" applyBorder="1"/>
    <xf numFmtId="0" fontId="26" fillId="2" borderId="12" xfId="0" applyFont="1" applyFill="1" applyBorder="1"/>
    <xf numFmtId="0" fontId="26" fillId="2" borderId="13" xfId="0" applyFont="1" applyFill="1" applyBorder="1"/>
    <xf numFmtId="0" fontId="0" fillId="0" borderId="0" xfId="0" applyFill="1"/>
    <xf numFmtId="0" fontId="20" fillId="3" borderId="13" xfId="0" applyFont="1" applyFill="1" applyBorder="1" applyAlignment="1">
      <alignment horizontal="center" vertical="center" wrapText="1"/>
    </xf>
    <xf numFmtId="0" fontId="19" fillId="0" borderId="0" xfId="14" applyFont="1" applyFill="1" applyBorder="1" applyAlignment="1">
      <alignment horizontal="center" vertical="justify"/>
    </xf>
    <xf numFmtId="0" fontId="0" fillId="0" borderId="0" xfId="0" applyFill="1" applyBorder="1" applyAlignment="1"/>
    <xf numFmtId="3" fontId="2" fillId="0" borderId="20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62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0" fillId="4" borderId="0" xfId="0" applyFill="1"/>
    <xf numFmtId="0" fontId="2" fillId="4" borderId="0" xfId="0" applyFont="1" applyFill="1" applyAlignment="1">
      <alignment horizontal="center" vertical="center"/>
    </xf>
    <xf numFmtId="0" fontId="2" fillId="4" borderId="0" xfId="0" applyFont="1" applyFill="1"/>
    <xf numFmtId="0" fontId="48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3" fontId="2" fillId="4" borderId="0" xfId="0" applyNumberFormat="1" applyFont="1" applyFill="1" applyAlignment="1">
      <alignment horizontal="center" vertical="center"/>
    </xf>
    <xf numFmtId="3" fontId="48" fillId="4" borderId="0" xfId="0" applyNumberFormat="1" applyFont="1" applyFill="1" applyAlignment="1">
      <alignment horizontal="left" vertical="center"/>
    </xf>
    <xf numFmtId="3" fontId="2" fillId="4" borderId="0" xfId="0" applyNumberFormat="1" applyFont="1" applyFill="1" applyAlignment="1">
      <alignment horizontal="right" vertical="center"/>
    </xf>
    <xf numFmtId="49" fontId="0" fillId="4" borderId="0" xfId="0" applyNumberFormat="1" applyFill="1"/>
    <xf numFmtId="0" fontId="0" fillId="4" borderId="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1" fontId="2" fillId="4" borderId="0" xfId="0" applyNumberFormat="1" applyFont="1" applyFill="1" applyBorder="1" applyAlignment="1">
      <alignment horizontal="center" vertical="center"/>
    </xf>
    <xf numFmtId="10" fontId="2" fillId="4" borderId="9" xfId="0" applyNumberFormat="1" applyFont="1" applyFill="1" applyBorder="1" applyAlignment="1">
      <alignment horizontal="center" vertical="center"/>
    </xf>
    <xf numFmtId="10" fontId="2" fillId="4" borderId="10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right" vertical="center"/>
    </xf>
    <xf numFmtId="0" fontId="17" fillId="4" borderId="0" xfId="0" applyFont="1" applyFill="1" applyAlignment="1">
      <alignment horizontal="right"/>
    </xf>
    <xf numFmtId="0" fontId="17" fillId="4" borderId="0" xfId="0" applyFont="1" applyFill="1"/>
    <xf numFmtId="0" fontId="2" fillId="0" borderId="3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3" fontId="2" fillId="0" borderId="49" xfId="0" applyNumberFormat="1" applyFont="1" applyFill="1" applyBorder="1" applyAlignment="1">
      <alignment horizontal="right" vertical="center"/>
    </xf>
    <xf numFmtId="3" fontId="2" fillId="0" borderId="78" xfId="0" applyNumberFormat="1" applyFont="1" applyFill="1" applyBorder="1" applyAlignment="1">
      <alignment horizontal="right" vertical="center"/>
    </xf>
    <xf numFmtId="174" fontId="0" fillId="0" borderId="0" xfId="0" applyNumberFormat="1"/>
    <xf numFmtId="1" fontId="1" fillId="0" borderId="0" xfId="0" applyNumberFormat="1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3" fontId="20" fillId="0" borderId="12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19" fillId="4" borderId="0" xfId="14" applyFont="1" applyFill="1" applyBorder="1" applyAlignment="1">
      <alignment horizontal="center" vertical="justify"/>
    </xf>
    <xf numFmtId="0" fontId="51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" fontId="0" fillId="0" borderId="0" xfId="0" applyNumberFormat="1" applyFill="1"/>
    <xf numFmtId="3" fontId="2" fillId="0" borderId="73" xfId="0" applyNumberFormat="1" applyFont="1" applyFill="1" applyBorder="1" applyAlignment="1">
      <alignment horizontal="right" vertical="center"/>
    </xf>
    <xf numFmtId="3" fontId="2" fillId="0" borderId="72" xfId="0" applyNumberFormat="1" applyFont="1" applyFill="1" applyBorder="1" applyAlignment="1">
      <alignment horizontal="right" vertical="center"/>
    </xf>
    <xf numFmtId="10" fontId="2" fillId="0" borderId="0" xfId="0" quotePrefix="1" applyNumberFormat="1" applyFont="1" applyFill="1" applyBorder="1" applyAlignment="1">
      <alignment horizontal="left" vertical="center"/>
    </xf>
    <xf numFmtId="0" fontId="5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7" fillId="0" borderId="0" xfId="0" applyFont="1" applyFill="1" applyBorder="1" applyAlignment="1">
      <alignment horizontal="justify" vertical="center" wrapText="1"/>
    </xf>
    <xf numFmtId="0" fontId="47" fillId="0" borderId="0" xfId="0" applyFont="1" applyFill="1" applyBorder="1" applyAlignment="1">
      <alignment vertical="center"/>
    </xf>
    <xf numFmtId="0" fontId="20" fillId="0" borderId="17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3" fontId="17" fillId="0" borderId="39" xfId="0" applyNumberFormat="1" applyFont="1" applyFill="1" applyBorder="1" applyAlignment="1">
      <alignment horizontal="center" vertical="center"/>
    </xf>
    <xf numFmtId="3" fontId="17" fillId="0" borderId="58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/>
    <xf numFmtId="3" fontId="2" fillId="0" borderId="0" xfId="0" applyNumberFormat="1" applyFont="1"/>
    <xf numFmtId="3" fontId="6" fillId="0" borderId="5" xfId="0" applyNumberFormat="1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29" xfId="0" applyFont="1" applyFill="1" applyBorder="1" applyAlignment="1">
      <alignment horizontal="center" vertical="center"/>
    </xf>
    <xf numFmtId="3" fontId="6" fillId="0" borderId="29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20" fillId="0" borderId="29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0" fontId="62" fillId="0" borderId="0" xfId="0" applyFont="1"/>
    <xf numFmtId="0" fontId="60" fillId="0" borderId="0" xfId="0" applyFont="1" applyFill="1"/>
    <xf numFmtId="0" fontId="5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32" borderId="0" xfId="0" applyFont="1" applyFill="1" applyBorder="1" applyAlignment="1">
      <alignment horizontal="center" vertical="center"/>
    </xf>
    <xf numFmtId="0" fontId="2" fillId="32" borderId="31" xfId="0" applyFont="1" applyFill="1" applyBorder="1" applyAlignment="1">
      <alignment horizontal="center" vertical="center"/>
    </xf>
    <xf numFmtId="0" fontId="2" fillId="32" borderId="62" xfId="0" applyFont="1" applyFill="1" applyBorder="1" applyAlignment="1">
      <alignment horizontal="center" vertical="center"/>
    </xf>
    <xf numFmtId="3" fontId="2" fillId="32" borderId="0" xfId="0" applyNumberFormat="1" applyFont="1" applyFill="1" applyBorder="1" applyAlignment="1">
      <alignment horizontal="right" vertical="center"/>
    </xf>
    <xf numFmtId="3" fontId="2" fillId="32" borderId="62" xfId="0" applyNumberFormat="1" applyFont="1" applyFill="1" applyBorder="1" applyAlignment="1">
      <alignment horizontal="right" vertical="center"/>
    </xf>
    <xf numFmtId="0" fontId="2" fillId="32" borderId="18" xfId="0" applyFont="1" applyFill="1" applyBorder="1" applyAlignment="1">
      <alignment horizontal="center" vertical="center"/>
    </xf>
    <xf numFmtId="0" fontId="2" fillId="32" borderId="73" xfId="0" applyFont="1" applyFill="1" applyBorder="1" applyAlignment="1">
      <alignment horizontal="center" vertical="center"/>
    </xf>
    <xf numFmtId="0" fontId="2" fillId="32" borderId="19" xfId="0" applyFont="1" applyFill="1" applyBorder="1" applyAlignment="1">
      <alignment horizontal="center" vertical="center"/>
    </xf>
    <xf numFmtId="3" fontId="2" fillId="32" borderId="73" xfId="0" applyNumberFormat="1" applyFont="1" applyFill="1" applyBorder="1" applyAlignment="1">
      <alignment horizontal="right" vertical="center"/>
    </xf>
    <xf numFmtId="3" fontId="2" fillId="32" borderId="19" xfId="0" applyNumberFormat="1" applyFont="1" applyFill="1" applyBorder="1" applyAlignment="1">
      <alignment horizontal="right" vertical="center"/>
    </xf>
    <xf numFmtId="3" fontId="2" fillId="32" borderId="20" xfId="0" applyNumberFormat="1" applyFont="1" applyFill="1" applyBorder="1" applyAlignment="1">
      <alignment horizontal="right" vertical="center"/>
    </xf>
    <xf numFmtId="3" fontId="2" fillId="32" borderId="35" xfId="0" applyNumberFormat="1" applyFont="1" applyFill="1" applyBorder="1" applyAlignment="1">
      <alignment horizontal="right" vertical="center"/>
    </xf>
    <xf numFmtId="0" fontId="0" fillId="32" borderId="0" xfId="0" applyFill="1"/>
    <xf numFmtId="0" fontId="62" fillId="32" borderId="0" xfId="0" applyFont="1" applyFill="1"/>
    <xf numFmtId="175" fontId="62" fillId="32" borderId="0" xfId="145" applyNumberFormat="1" applyFont="1" applyFill="1"/>
    <xf numFmtId="0" fontId="0" fillId="32" borderId="21" xfId="0" applyFill="1" applyBorder="1" applyAlignment="1">
      <alignment horizontal="center" vertical="center"/>
    </xf>
    <xf numFmtId="0" fontId="0" fillId="32" borderId="5" xfId="0" applyFill="1" applyBorder="1" applyAlignment="1">
      <alignment horizontal="center" vertical="center"/>
    </xf>
    <xf numFmtId="10" fontId="0" fillId="32" borderId="10" xfId="0" applyNumberFormat="1" applyFill="1" applyBorder="1" applyAlignment="1">
      <alignment horizontal="center" vertical="center"/>
    </xf>
    <xf numFmtId="0" fontId="63" fillId="0" borderId="0" xfId="0" applyFont="1"/>
    <xf numFmtId="0" fontId="20" fillId="0" borderId="0" xfId="0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54" fillId="0" borderId="11" xfId="0" applyFont="1" applyBorder="1" applyAlignment="1">
      <alignment horizontal="center"/>
    </xf>
    <xf numFmtId="0" fontId="54" fillId="0" borderId="50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54" fillId="0" borderId="82" xfId="0" applyFont="1" applyBorder="1" applyAlignment="1">
      <alignment horizontal="center"/>
    </xf>
    <xf numFmtId="3" fontId="55" fillId="0" borderId="77" xfId="0" applyNumberFormat="1" applyFont="1" applyBorder="1" applyAlignment="1">
      <alignment horizontal="center"/>
    </xf>
    <xf numFmtId="3" fontId="55" fillId="0" borderId="42" xfId="0" applyNumberFormat="1" applyFont="1" applyBorder="1" applyAlignment="1">
      <alignment horizontal="center"/>
    </xf>
    <xf numFmtId="171" fontId="54" fillId="0" borderId="32" xfId="0" applyNumberFormat="1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0" fontId="54" fillId="0" borderId="54" xfId="0" applyFont="1" applyBorder="1" applyAlignment="1">
      <alignment horizontal="center"/>
    </xf>
    <xf numFmtId="3" fontId="55" fillId="0" borderId="85" xfId="0" applyNumberFormat="1" applyFont="1" applyBorder="1" applyAlignment="1">
      <alignment horizontal="center"/>
    </xf>
    <xf numFmtId="3" fontId="55" fillId="0" borderId="83" xfId="0" applyNumberFormat="1" applyFont="1" applyBorder="1" applyAlignment="1">
      <alignment horizontal="center"/>
    </xf>
    <xf numFmtId="171" fontId="54" fillId="0" borderId="46" xfId="0" applyNumberFormat="1" applyFont="1" applyBorder="1" applyAlignment="1">
      <alignment horizontal="center"/>
    </xf>
    <xf numFmtId="3" fontId="55" fillId="0" borderId="82" xfId="0" applyNumberFormat="1" applyFont="1" applyBorder="1" applyAlignment="1">
      <alignment horizontal="left"/>
    </xf>
    <xf numFmtId="3" fontId="55" fillId="0" borderId="5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54" fillId="0" borderId="2" xfId="0" applyFont="1" applyFill="1" applyBorder="1" applyAlignment="1">
      <alignment horizontal="left"/>
    </xf>
    <xf numFmtId="0" fontId="0" fillId="4" borderId="27" xfId="0" applyFill="1" applyBorder="1"/>
    <xf numFmtId="0" fontId="0" fillId="4" borderId="1" xfId="0" applyFill="1" applyBorder="1"/>
    <xf numFmtId="0" fontId="0" fillId="4" borderId="9" xfId="0" applyFill="1" applyBorder="1"/>
    <xf numFmtId="0" fontId="0" fillId="0" borderId="0" xfId="0" applyFill="1" applyAlignment="1">
      <alignment wrapText="1"/>
    </xf>
    <xf numFmtId="0" fontId="60" fillId="0" borderId="0" xfId="0" applyFont="1" applyFill="1" applyAlignment="1">
      <alignment wrapText="1"/>
    </xf>
    <xf numFmtId="3" fontId="2" fillId="0" borderId="14" xfId="0" applyNumberFormat="1" applyFont="1" applyFill="1" applyBorder="1" applyAlignment="1">
      <alignment horizontal="right" vertical="center"/>
    </xf>
    <xf numFmtId="167" fontId="0" fillId="33" borderId="0" xfId="0" applyNumberFormat="1" applyFill="1" applyAlignment="1">
      <alignment horizontal="center" vertical="center"/>
    </xf>
    <xf numFmtId="3" fontId="2" fillId="31" borderId="19" xfId="0" applyNumberFormat="1" applyFont="1" applyFill="1" applyBorder="1" applyAlignment="1">
      <alignment horizontal="right" vertical="center"/>
    </xf>
    <xf numFmtId="1" fontId="0" fillId="4" borderId="6" xfId="0" applyNumberFormat="1" applyFill="1" applyBorder="1" applyAlignment="1">
      <alignment horizontal="center"/>
    </xf>
    <xf numFmtId="1" fontId="0" fillId="4" borderId="9" xfId="0" applyNumberFormat="1" applyFill="1" applyBorder="1" applyAlignment="1">
      <alignment horizontal="center"/>
    </xf>
    <xf numFmtId="1" fontId="0" fillId="4" borderId="10" xfId="0" applyNumberFormat="1" applyFill="1" applyBorder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0" fillId="0" borderId="0" xfId="0" applyFill="1" applyBorder="1" applyAlignment="1"/>
    <xf numFmtId="3" fontId="6" fillId="0" borderId="84" xfId="0" applyNumberFormat="1" applyFont="1" applyFill="1" applyBorder="1" applyAlignment="1">
      <alignment horizontal="center" vertical="center"/>
    </xf>
    <xf numFmtId="3" fontId="20" fillId="0" borderId="50" xfId="0" applyNumberFormat="1" applyFont="1" applyFill="1" applyBorder="1" applyAlignment="1">
      <alignment horizontal="center" vertical="center"/>
    </xf>
    <xf numFmtId="167" fontId="2" fillId="0" borderId="62" xfId="0" applyNumberFormat="1" applyFont="1" applyFill="1" applyBorder="1" applyAlignment="1">
      <alignment horizontal="center" vertical="center"/>
    </xf>
    <xf numFmtId="167" fontId="2" fillId="0" borderId="27" xfId="0" applyNumberFormat="1" applyFont="1" applyFill="1" applyBorder="1" applyAlignment="1">
      <alignment horizontal="center" vertical="center"/>
    </xf>
    <xf numFmtId="167" fontId="2" fillId="0" borderId="49" xfId="0" applyNumberFormat="1" applyFont="1" applyFill="1" applyBorder="1" applyAlignment="1">
      <alignment horizontal="center" vertical="center"/>
    </xf>
    <xf numFmtId="167" fontId="2" fillId="33" borderId="62" xfId="0" applyNumberFormat="1" applyFont="1" applyFill="1" applyBorder="1" applyAlignment="1">
      <alignment horizontal="center" vertical="center"/>
    </xf>
    <xf numFmtId="167" fontId="2" fillId="33" borderId="49" xfId="0" applyNumberFormat="1" applyFont="1" applyFill="1" applyBorder="1" applyAlignment="1">
      <alignment horizontal="center" vertical="center"/>
    </xf>
    <xf numFmtId="10" fontId="2" fillId="0" borderId="2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0" fontId="2" fillId="0" borderId="4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0" fontId="2" fillId="0" borderId="22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 applyProtection="1">
      <alignment horizontal="left"/>
    </xf>
    <xf numFmtId="3" fontId="6" fillId="0" borderId="27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right" vertical="center"/>
    </xf>
    <xf numFmtId="0" fontId="6" fillId="0" borderId="76" xfId="0" applyFont="1" applyFill="1" applyBorder="1" applyAlignment="1" applyProtection="1">
      <alignment horizontal="left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64" fillId="0" borderId="0" xfId="0" applyFont="1" applyAlignment="1">
      <alignment horizontal="right"/>
    </xf>
    <xf numFmtId="3" fontId="50" fillId="0" borderId="61" xfId="14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9" fillId="0" borderId="0" xfId="1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4" fillId="0" borderId="0" xfId="0" applyFont="1" applyAlignment="1">
      <alignment horizontal="lef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left"/>
    </xf>
    <xf numFmtId="167" fontId="65" fillId="0" borderId="0" xfId="0" applyNumberFormat="1" applyFont="1" applyAlignment="1">
      <alignment horizontal="right"/>
    </xf>
    <xf numFmtId="0" fontId="51" fillId="0" borderId="0" xfId="0" applyFont="1" applyAlignment="1">
      <alignment vertical="top" wrapText="1"/>
    </xf>
    <xf numFmtId="0" fontId="66" fillId="0" borderId="0" xfId="0" applyFont="1"/>
    <xf numFmtId="0" fontId="0" fillId="0" borderId="0" xfId="0" applyFill="1" applyBorder="1" applyAlignment="1"/>
    <xf numFmtId="0" fontId="2" fillId="0" borderId="1" xfId="0" applyFont="1" applyBorder="1"/>
    <xf numFmtId="0" fontId="2" fillId="3" borderId="1" xfId="0" applyFont="1" applyFill="1" applyBorder="1"/>
    <xf numFmtId="0" fontId="0" fillId="0" borderId="0" xfId="0" applyNumberFormat="1" applyFill="1"/>
    <xf numFmtId="0" fontId="0" fillId="0" borderId="0" xfId="0" applyFill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51" fillId="0" borderId="0" xfId="0" applyFont="1" applyAlignment="1">
      <alignment vertical="top"/>
    </xf>
    <xf numFmtId="167" fontId="66" fillId="0" borderId="0" xfId="0" applyNumberFormat="1" applyFont="1" applyAlignment="1">
      <alignment vertical="center" wrapText="1"/>
    </xf>
    <xf numFmtId="0" fontId="0" fillId="33" borderId="0" xfId="0" applyFill="1"/>
    <xf numFmtId="0" fontId="16" fillId="0" borderId="0" xfId="0" applyFont="1" applyAlignment="1">
      <alignment horizontal="left" vertical="center"/>
    </xf>
    <xf numFmtId="0" fontId="26" fillId="0" borderId="0" xfId="0" applyFont="1" applyFill="1" applyAlignment="1">
      <alignment vertical="top" wrapText="1"/>
    </xf>
    <xf numFmtId="167" fontId="26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center"/>
    </xf>
    <xf numFmtId="0" fontId="0" fillId="0" borderId="1" xfId="0" applyBorder="1"/>
    <xf numFmtId="0" fontId="2" fillId="32" borderId="29" xfId="0" applyFont="1" applyFill="1" applyBorder="1" applyAlignment="1">
      <alignment horizontal="center" vertical="center"/>
    </xf>
    <xf numFmtId="3" fontId="2" fillId="32" borderId="43" xfId="0" applyNumberFormat="1" applyFont="1" applyFill="1" applyBorder="1" applyAlignment="1">
      <alignment horizontal="right" vertic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1" fillId="0" borderId="40" xfId="0" applyFont="1" applyFill="1" applyBorder="1" applyAlignment="1">
      <alignment horizontal="center" vertical="center"/>
    </xf>
    <xf numFmtId="3" fontId="6" fillId="0" borderId="62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20" fillId="0" borderId="39" xfId="0" applyFont="1" applyFill="1" applyBorder="1" applyAlignment="1">
      <alignment horizontal="center" vertical="center"/>
    </xf>
    <xf numFmtId="3" fontId="20" fillId="0" borderId="49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/>
    </xf>
    <xf numFmtId="0" fontId="68" fillId="0" borderId="0" xfId="0" applyFont="1"/>
    <xf numFmtId="0" fontId="0" fillId="0" borderId="19" xfId="0" applyFont="1" applyBorder="1" applyAlignment="1">
      <alignment horizontal="center" vertical="center"/>
    </xf>
    <xf numFmtId="3" fontId="0" fillId="0" borderId="34" xfId="0" applyNumberFormat="1" applyBorder="1"/>
    <xf numFmtId="3" fontId="0" fillId="0" borderId="1" xfId="0" applyNumberFormat="1" applyBorder="1"/>
    <xf numFmtId="3" fontId="67" fillId="0" borderId="0" xfId="0" applyNumberFormat="1" applyFont="1" applyFill="1" applyBorder="1" applyAlignment="1">
      <alignment vertical="top" wrapText="1"/>
    </xf>
    <xf numFmtId="0" fontId="2" fillId="0" borderId="0" xfId="0" applyFont="1" applyBorder="1"/>
    <xf numFmtId="0" fontId="20" fillId="0" borderId="3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68" fontId="20" fillId="0" borderId="9" xfId="0" applyNumberFormat="1" applyFont="1" applyFill="1" applyBorder="1" applyAlignment="1">
      <alignment horizontal="center" vertical="center"/>
    </xf>
    <xf numFmtId="167" fontId="20" fillId="0" borderId="10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20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10" fontId="6" fillId="0" borderId="8" xfId="0" applyNumberFormat="1" applyFont="1" applyFill="1" applyBorder="1" applyAlignment="1">
      <alignment horizontal="right" vertical="center"/>
    </xf>
    <xf numFmtId="0" fontId="18" fillId="0" borderId="0" xfId="0" applyFont="1" applyFill="1"/>
    <xf numFmtId="0" fontId="28" fillId="0" borderId="5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9" fontId="29" fillId="0" borderId="4" xfId="0" applyNumberFormat="1" applyFont="1" applyFill="1" applyBorder="1" applyAlignment="1">
      <alignment horizontal="center" vertical="center"/>
    </xf>
    <xf numFmtId="3" fontId="29" fillId="0" borderId="4" xfId="0" applyNumberFormat="1" applyFont="1" applyFill="1" applyBorder="1" applyAlignment="1">
      <alignment horizontal="center" vertical="center"/>
    </xf>
    <xf numFmtId="3" fontId="29" fillId="0" borderId="5" xfId="0" applyNumberFormat="1" applyFont="1" applyFill="1" applyBorder="1" applyAlignment="1">
      <alignment horizontal="center" vertical="center"/>
    </xf>
    <xf numFmtId="9" fontId="29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3" fontId="29" fillId="0" borderId="8" xfId="0" applyNumberFormat="1" applyFont="1" applyFill="1" applyBorder="1" applyAlignment="1">
      <alignment horizontal="center" vertical="center"/>
    </xf>
    <xf numFmtId="9" fontId="29" fillId="0" borderId="27" xfId="0" applyNumberFormat="1" applyFont="1" applyFill="1" applyBorder="1" applyAlignment="1">
      <alignment horizontal="center" vertical="center"/>
    </xf>
    <xf numFmtId="10" fontId="29" fillId="0" borderId="1" xfId="0" applyNumberFormat="1" applyFont="1" applyFill="1" applyBorder="1" applyAlignment="1">
      <alignment horizontal="center" vertical="center"/>
    </xf>
    <xf numFmtId="10" fontId="29" fillId="0" borderId="8" xfId="0" applyNumberFormat="1" applyFont="1" applyFill="1" applyBorder="1" applyAlignment="1">
      <alignment horizontal="center" vertical="center"/>
    </xf>
    <xf numFmtId="9" fontId="29" fillId="0" borderId="9" xfId="0" applyNumberFormat="1" applyFont="1" applyFill="1" applyBorder="1" applyAlignment="1">
      <alignment horizontal="center" vertical="center"/>
    </xf>
    <xf numFmtId="10" fontId="29" fillId="0" borderId="9" xfId="0" applyNumberFormat="1" applyFont="1" applyFill="1" applyBorder="1" applyAlignment="1">
      <alignment horizontal="center" vertical="center"/>
    </xf>
    <xf numFmtId="10" fontId="29" fillId="0" borderId="10" xfId="0" applyNumberFormat="1" applyFont="1" applyFill="1" applyBorder="1" applyAlignment="1">
      <alignment horizontal="center" vertical="center"/>
    </xf>
    <xf numFmtId="10" fontId="26" fillId="0" borderId="3" xfId="0" applyNumberFormat="1" applyFont="1" applyFill="1" applyBorder="1"/>
    <xf numFmtId="10" fontId="26" fillId="0" borderId="4" xfId="0" applyNumberFormat="1" applyFont="1" applyFill="1" applyBorder="1"/>
    <xf numFmtId="10" fontId="26" fillId="0" borderId="5" xfId="0" applyNumberFormat="1" applyFont="1" applyFill="1" applyBorder="1"/>
    <xf numFmtId="4" fontId="26" fillId="0" borderId="7" xfId="0" applyNumberFormat="1" applyFont="1" applyFill="1" applyBorder="1"/>
    <xf numFmtId="4" fontId="26" fillId="0" borderId="1" xfId="0" applyNumberFormat="1" applyFont="1" applyFill="1" applyBorder="1"/>
    <xf numFmtId="4" fontId="26" fillId="0" borderId="8" xfId="0" applyNumberFormat="1" applyFont="1" applyFill="1" applyBorder="1"/>
    <xf numFmtId="2" fontId="26" fillId="0" borderId="10" xfId="0" applyNumberFormat="1" applyFont="1" applyFill="1" applyBorder="1"/>
    <xf numFmtId="9" fontId="26" fillId="33" borderId="59" xfId="0" applyNumberFormat="1" applyFont="1" applyFill="1" applyBorder="1"/>
    <xf numFmtId="9" fontId="26" fillId="33" borderId="19" xfId="0" applyNumberFormat="1" applyFont="1" applyFill="1" applyBorder="1"/>
    <xf numFmtId="10" fontId="26" fillId="33" borderId="20" xfId="0" applyNumberFormat="1" applyFont="1" applyFill="1" applyBorder="1"/>
    <xf numFmtId="0" fontId="26" fillId="33" borderId="47" xfId="0" applyFont="1" applyFill="1" applyBorder="1"/>
    <xf numFmtId="10" fontId="26" fillId="33" borderId="3" xfId="0" applyNumberFormat="1" applyFont="1" applyFill="1" applyBorder="1"/>
    <xf numFmtId="10" fontId="26" fillId="33" borderId="4" xfId="0" applyNumberFormat="1" applyFont="1" applyFill="1" applyBorder="1"/>
    <xf numFmtId="10" fontId="26" fillId="33" borderId="5" xfId="0" applyNumberFormat="1" applyFont="1" applyFill="1" applyBorder="1"/>
    <xf numFmtId="0" fontId="26" fillId="33" borderId="45" xfId="0" applyFont="1" applyFill="1" applyBorder="1"/>
    <xf numFmtId="4" fontId="26" fillId="33" borderId="7" xfId="0" applyNumberFormat="1" applyFont="1" applyFill="1" applyBorder="1"/>
    <xf numFmtId="4" fontId="26" fillId="33" borderId="1" xfId="0" applyNumberFormat="1" applyFont="1" applyFill="1" applyBorder="1"/>
    <xf numFmtId="4" fontId="26" fillId="33" borderId="8" xfId="0" applyNumberFormat="1" applyFont="1" applyFill="1" applyBorder="1"/>
    <xf numFmtId="0" fontId="26" fillId="33" borderId="46" xfId="0" applyFont="1" applyFill="1" applyBorder="1"/>
    <xf numFmtId="2" fontId="26" fillId="33" borderId="6" xfId="0" applyNumberFormat="1" applyFont="1" applyFill="1" applyBorder="1"/>
    <xf numFmtId="2" fontId="26" fillId="33" borderId="9" xfId="0" applyNumberFormat="1" applyFont="1" applyFill="1" applyBorder="1"/>
    <xf numFmtId="2" fontId="26" fillId="33" borderId="10" xfId="0" applyNumberFormat="1" applyFont="1" applyFill="1" applyBorder="1"/>
    <xf numFmtId="4" fontId="26" fillId="0" borderId="6" xfId="0" applyNumberFormat="1" applyFont="1" applyFill="1" applyBorder="1"/>
    <xf numFmtId="4" fontId="26" fillId="0" borderId="9" xfId="0" applyNumberFormat="1" applyFont="1" applyFill="1" applyBorder="1"/>
    <xf numFmtId="4" fontId="26" fillId="0" borderId="10" xfId="0" applyNumberFormat="1" applyFont="1" applyFill="1" applyBorder="1"/>
    <xf numFmtId="3" fontId="0" fillId="0" borderId="0" xfId="0" applyNumberFormat="1"/>
    <xf numFmtId="0" fontId="20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 wrapText="1"/>
    </xf>
    <xf numFmtId="0" fontId="47" fillId="0" borderId="2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17" fillId="0" borderId="38" xfId="0" applyNumberFormat="1" applyFont="1" applyFill="1" applyBorder="1" applyAlignment="1">
      <alignment horizontal="center" vertical="center"/>
    </xf>
    <xf numFmtId="0" fontId="0" fillId="4" borderId="21" xfId="0" applyFill="1" applyBorder="1"/>
    <xf numFmtId="0" fontId="0" fillId="4" borderId="34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47" fillId="0" borderId="29" xfId="0" applyFont="1" applyFill="1" applyBorder="1" applyAlignment="1">
      <alignment horizontal="justify" vertical="center" wrapText="1"/>
    </xf>
    <xf numFmtId="0" fontId="6" fillId="0" borderId="73" xfId="0" applyFont="1" applyBorder="1"/>
    <xf numFmtId="3" fontId="0" fillId="0" borderId="0" xfId="0" applyNumberFormat="1" applyBorder="1"/>
    <xf numFmtId="175" fontId="2" fillId="0" borderId="1" xfId="145" applyNumberFormat="1" applyFont="1" applyBorder="1"/>
    <xf numFmtId="175" fontId="2" fillId="4" borderId="1" xfId="145" applyNumberFormat="1" applyFont="1" applyFill="1" applyBorder="1"/>
    <xf numFmtId="0" fontId="0" fillId="0" borderId="84" xfId="0" applyFont="1" applyBorder="1" applyAlignment="1">
      <alignment horizontal="center" vertical="center"/>
    </xf>
    <xf numFmtId="3" fontId="0" fillId="0" borderId="52" xfId="0" applyNumberFormat="1" applyBorder="1"/>
    <xf numFmtId="3" fontId="0" fillId="0" borderId="86" xfId="0" applyNumberFormat="1" applyBorder="1"/>
    <xf numFmtId="175" fontId="2" fillId="0" borderId="87" xfId="145" applyNumberFormat="1" applyFont="1" applyBorder="1"/>
    <xf numFmtId="175" fontId="2" fillId="4" borderId="87" xfId="145" applyNumberFormat="1" applyFont="1" applyFill="1" applyBorder="1"/>
    <xf numFmtId="2" fontId="2" fillId="0" borderId="0" xfId="0" applyNumberFormat="1" applyFont="1" applyAlignment="1">
      <alignment horizontal="center" vertical="center"/>
    </xf>
    <xf numFmtId="2" fontId="2" fillId="31" borderId="0" xfId="0" applyNumberFormat="1" applyFont="1" applyFill="1" applyAlignment="1">
      <alignment horizontal="center" vertical="center"/>
    </xf>
    <xf numFmtId="0" fontId="69" fillId="0" borderId="0" xfId="0" applyFont="1"/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175" fontId="2" fillId="32" borderId="87" xfId="145" applyNumberFormat="1" applyFont="1" applyFill="1" applyBorder="1"/>
    <xf numFmtId="0" fontId="0" fillId="34" borderId="0" xfId="0" applyFill="1"/>
    <xf numFmtId="3" fontId="0" fillId="34" borderId="0" xfId="0" applyNumberFormat="1" applyFill="1" applyBorder="1"/>
    <xf numFmtId="0" fontId="2" fillId="0" borderId="0" xfId="0" applyFont="1" applyAlignment="1">
      <alignment horizontal="center" vertical="center"/>
    </xf>
    <xf numFmtId="0" fontId="70" fillId="0" borderId="0" xfId="0" applyFont="1"/>
    <xf numFmtId="175" fontId="2" fillId="0" borderId="0" xfId="0" applyNumberFormat="1" applyFont="1"/>
    <xf numFmtId="0" fontId="70" fillId="0" borderId="0" xfId="0" applyFont="1" applyAlignment="1">
      <alignment horizontal="center" vertical="center"/>
    </xf>
    <xf numFmtId="175" fontId="2" fillId="0" borderId="0" xfId="145" applyNumberFormat="1" applyFont="1"/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2" fontId="60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17" fillId="0" borderId="0" xfId="0" applyFont="1"/>
    <xf numFmtId="0" fontId="72" fillId="35" borderId="29" xfId="146" applyNumberFormat="1" applyFont="1" applyFill="1" applyBorder="1" applyProtection="1">
      <protection locked="0"/>
    </xf>
    <xf numFmtId="0" fontId="73" fillId="35" borderId="40" xfId="147" applyFont="1" applyFill="1" applyBorder="1" applyProtection="1">
      <protection locked="0"/>
    </xf>
    <xf numFmtId="0" fontId="73" fillId="35" borderId="90" xfId="147" applyFont="1" applyFill="1" applyBorder="1" applyProtection="1">
      <protection locked="0"/>
    </xf>
    <xf numFmtId="0" fontId="73" fillId="35" borderId="0" xfId="147" applyFont="1" applyFill="1" applyBorder="1" applyProtection="1">
      <protection locked="0"/>
    </xf>
    <xf numFmtId="3" fontId="74" fillId="36" borderId="36" xfId="146" applyNumberFormat="1" applyFont="1" applyFill="1" applyBorder="1" applyAlignment="1" applyProtection="1">
      <protection locked="0"/>
    </xf>
    <xf numFmtId="3" fontId="74" fillId="36" borderId="29" xfId="146" applyNumberFormat="1" applyFont="1" applyFill="1" applyBorder="1" applyAlignment="1" applyProtection="1">
      <protection locked="0"/>
    </xf>
    <xf numFmtId="167" fontId="2" fillId="0" borderId="0" xfId="0" applyNumberFormat="1" applyFont="1"/>
    <xf numFmtId="1" fontId="2" fillId="0" borderId="0" xfId="0" applyNumberFormat="1" applyFont="1"/>
    <xf numFmtId="167" fontId="6" fillId="0" borderId="0" xfId="0" applyNumberFormat="1" applyFont="1"/>
    <xf numFmtId="0" fontId="72" fillId="35" borderId="0" xfId="146" applyNumberFormat="1" applyFont="1" applyFill="1" applyBorder="1" applyProtection="1">
      <protection locked="0"/>
    </xf>
    <xf numFmtId="3" fontId="74" fillId="36" borderId="0" xfId="146" applyNumberFormat="1" applyFont="1" applyFill="1" applyBorder="1" applyAlignment="1" applyProtection="1">
      <protection locked="0"/>
    </xf>
    <xf numFmtId="0" fontId="0" fillId="0" borderId="2" xfId="0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175" fontId="0" fillId="0" borderId="48" xfId="145" applyNumberFormat="1" applyFont="1" applyFill="1" applyBorder="1"/>
    <xf numFmtId="49" fontId="2" fillId="0" borderId="0" xfId="0" applyNumberFormat="1" applyFont="1" applyAlignment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55" xfId="0" applyFont="1" applyFill="1" applyBorder="1" applyAlignment="1">
      <alignment vertical="center"/>
    </xf>
    <xf numFmtId="0" fontId="20" fillId="0" borderId="4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20" fillId="0" borderId="51" xfId="0" applyFont="1" applyFill="1" applyBorder="1" applyAlignment="1">
      <alignment horizontal="center" vertical="center"/>
    </xf>
    <xf numFmtId="3" fontId="6" fillId="0" borderId="20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/>
    <xf numFmtId="0" fontId="2" fillId="0" borderId="3" xfId="0" applyFont="1" applyBorder="1"/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" fillId="0" borderId="7" xfId="0" applyFont="1" applyBorder="1"/>
    <xf numFmtId="3" fontId="2" fillId="0" borderId="8" xfId="0" applyNumberFormat="1" applyFont="1" applyBorder="1"/>
    <xf numFmtId="0" fontId="2" fillId="0" borderId="6" xfId="0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0" fontId="2" fillId="0" borderId="43" xfId="0" applyFont="1" applyBorder="1"/>
    <xf numFmtId="10" fontId="2" fillId="0" borderId="91" xfId="0" applyNumberFormat="1" applyFont="1" applyFill="1" applyBorder="1" applyAlignment="1">
      <alignment horizontal="center" vertical="center"/>
    </xf>
    <xf numFmtId="0" fontId="1" fillId="0" borderId="82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21" xfId="0" applyFill="1" applyBorder="1" applyAlignment="1">
      <alignment horizontal="center" vertical="center"/>
    </xf>
    <xf numFmtId="0" fontId="0" fillId="0" borderId="6" xfId="0" applyFill="1" applyBorder="1"/>
    <xf numFmtId="10" fontId="0" fillId="0" borderId="9" xfId="0" applyNumberFormat="1" applyFill="1" applyBorder="1" applyAlignment="1">
      <alignment horizontal="center" vertical="center"/>
    </xf>
    <xf numFmtId="10" fontId="0" fillId="32" borderId="22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19" xfId="0" applyNumberFormat="1" applyFont="1" applyFill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2" fontId="20" fillId="2" borderId="2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0" fontId="60" fillId="0" borderId="58" xfId="0" applyFont="1" applyFill="1" applyBorder="1"/>
    <xf numFmtId="0" fontId="60" fillId="0" borderId="41" xfId="0" applyFont="1" applyFill="1" applyBorder="1"/>
    <xf numFmtId="0" fontId="60" fillId="0" borderId="78" xfId="0" applyFont="1" applyFill="1" applyBorder="1"/>
    <xf numFmtId="175" fontId="0" fillId="0" borderId="22" xfId="145" applyNumberFormat="1" applyFont="1" applyFill="1" applyBorder="1"/>
    <xf numFmtId="0" fontId="0" fillId="0" borderId="5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60" fillId="0" borderId="14" xfId="0" applyFont="1" applyFill="1" applyBorder="1"/>
    <xf numFmtId="0" fontId="1" fillId="0" borderId="5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2" fillId="0" borderId="0" xfId="0" applyNumberFormat="1" applyFont="1"/>
    <xf numFmtId="0" fontId="75" fillId="0" borderId="0" xfId="0" applyFont="1" applyAlignment="1">
      <alignment horizontal="left" vertical="center"/>
    </xf>
    <xf numFmtId="0" fontId="75" fillId="0" borderId="0" xfId="0" applyFont="1" applyAlignment="1">
      <alignment horizontal="right" vertical="center"/>
    </xf>
    <xf numFmtId="0" fontId="75" fillId="0" borderId="0" xfId="0" applyFont="1" applyAlignment="1">
      <alignment horizontal="center" vertical="center"/>
    </xf>
    <xf numFmtId="0" fontId="76" fillId="0" borderId="0" xfId="0" applyFont="1" applyAlignment="1">
      <alignment horizontal="center" vertical="center"/>
    </xf>
    <xf numFmtId="176" fontId="6" fillId="0" borderId="0" xfId="145" applyNumberFormat="1" applyFont="1"/>
    <xf numFmtId="0" fontId="78" fillId="0" borderId="55" xfId="0" applyFont="1" applyFill="1" applyBorder="1" applyAlignment="1" applyProtection="1">
      <alignment horizontal="center"/>
      <protection locked="0"/>
    </xf>
    <xf numFmtId="0" fontId="78" fillId="0" borderId="23" xfId="0" applyFont="1" applyFill="1" applyBorder="1" applyAlignment="1" applyProtection="1">
      <alignment horizontal="center"/>
    </xf>
    <xf numFmtId="0" fontId="78" fillId="0" borderId="30" xfId="3" applyFont="1" applyFill="1" applyBorder="1" applyProtection="1"/>
    <xf numFmtId="1" fontId="78" fillId="5" borderId="17" xfId="0" applyNumberFormat="1" applyFont="1" applyFill="1" applyBorder="1" applyAlignment="1" applyProtection="1">
      <alignment horizontal="center"/>
      <protection locked="0"/>
    </xf>
    <xf numFmtId="0" fontId="78" fillId="0" borderId="56" xfId="3" applyFont="1" applyFill="1" applyBorder="1" applyProtection="1"/>
    <xf numFmtId="1" fontId="78" fillId="5" borderId="35" xfId="0" applyNumberFormat="1" applyFont="1" applyFill="1" applyBorder="1" applyAlignment="1" applyProtection="1">
      <alignment horizontal="center"/>
      <protection locked="0"/>
    </xf>
    <xf numFmtId="0" fontId="79" fillId="0" borderId="6" xfId="0" applyFont="1" applyFill="1" applyBorder="1" applyAlignment="1" applyProtection="1">
      <alignment vertical="center"/>
    </xf>
    <xf numFmtId="0" fontId="78" fillId="0" borderId="9" xfId="3" applyFont="1" applyFill="1" applyBorder="1" applyProtection="1"/>
    <xf numFmtId="1" fontId="78" fillId="5" borderId="10" xfId="0" applyNumberFormat="1" applyFont="1" applyFill="1" applyBorder="1" applyAlignment="1" applyProtection="1">
      <alignment horizontal="center"/>
      <protection locked="0"/>
    </xf>
    <xf numFmtId="3" fontId="14" fillId="0" borderId="0" xfId="0" applyNumberFormat="1" applyFont="1"/>
    <xf numFmtId="167" fontId="26" fillId="0" borderId="9" xfId="0" applyNumberFormat="1" applyFont="1" applyFill="1" applyBorder="1"/>
    <xf numFmtId="167" fontId="26" fillId="0" borderId="6" xfId="0" applyNumberFormat="1" applyFont="1" applyFill="1" applyBorder="1"/>
    <xf numFmtId="0" fontId="6" fillId="0" borderId="34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176" fontId="2" fillId="0" borderId="0" xfId="145" applyNumberFormat="1" applyFont="1" applyAlignment="1">
      <alignment horizontal="center"/>
    </xf>
    <xf numFmtId="0" fontId="80" fillId="0" borderId="4" xfId="0" applyFont="1" applyFill="1" applyBorder="1" applyAlignment="1">
      <alignment horizontal="center" vertical="center" wrapText="1"/>
    </xf>
    <xf numFmtId="0" fontId="80" fillId="0" borderId="5" xfId="0" applyFont="1" applyFill="1" applyBorder="1" applyAlignment="1">
      <alignment horizontal="center" vertical="center" wrapText="1"/>
    </xf>
    <xf numFmtId="2" fontId="81" fillId="0" borderId="9" xfId="0" applyNumberFormat="1" applyFont="1" applyFill="1" applyBorder="1" applyAlignment="1">
      <alignment horizontal="center" vertical="center"/>
    </xf>
    <xf numFmtId="2" fontId="81" fillId="0" borderId="20" xfId="0" applyNumberFormat="1" applyFont="1" applyFill="1" applyBorder="1" applyAlignment="1">
      <alignment horizontal="center" vertical="center"/>
    </xf>
    <xf numFmtId="2" fontId="80" fillId="2" borderId="2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3" fontId="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52" xfId="0" applyFont="1" applyBorder="1" applyAlignment="1">
      <alignment vertical="center"/>
    </xf>
    <xf numFmtId="175" fontId="2" fillId="0" borderId="1" xfId="145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5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6" fillId="0" borderId="1" xfId="0" applyFont="1" applyBorder="1"/>
    <xf numFmtId="0" fontId="16" fillId="0" borderId="0" xfId="0" applyFont="1" applyFill="1"/>
    <xf numFmtId="0" fontId="2" fillId="32" borderId="1" xfId="0" applyFont="1" applyFill="1" applyBorder="1"/>
    <xf numFmtId="0" fontId="2" fillId="0" borderId="52" xfId="0" applyFont="1" applyBorder="1"/>
    <xf numFmtId="175" fontId="10" fillId="0" borderId="1" xfId="145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9" fillId="0" borderId="1" xfId="0" applyFont="1" applyBorder="1"/>
    <xf numFmtId="175" fontId="10" fillId="0" borderId="62" xfId="145" applyNumberFormat="1" applyFont="1" applyFill="1" applyBorder="1" applyAlignment="1">
      <alignment vertical="center"/>
    </xf>
    <xf numFmtId="175" fontId="10" fillId="0" borderId="27" xfId="145" applyNumberFormat="1" applyFont="1" applyFill="1" applyBorder="1" applyAlignment="1">
      <alignment vertical="center"/>
    </xf>
    <xf numFmtId="0" fontId="71" fillId="0" borderId="0" xfId="0" applyFont="1"/>
    <xf numFmtId="0" fontId="16" fillId="0" borderId="1" xfId="0" applyFont="1" applyFill="1" applyBorder="1"/>
    <xf numFmtId="175" fontId="2" fillId="0" borderId="73" xfId="0" applyNumberFormat="1" applyFont="1" applyBorder="1"/>
    <xf numFmtId="0" fontId="75" fillId="0" borderId="1" xfId="0" applyFont="1" applyBorder="1"/>
    <xf numFmtId="0" fontId="85" fillId="0" borderId="1" xfId="0" applyFont="1" applyBorder="1"/>
    <xf numFmtId="175" fontId="86" fillId="0" borderId="0" xfId="0" applyNumberFormat="1" applyFont="1"/>
    <xf numFmtId="0" fontId="87" fillId="0" borderId="55" xfId="0" applyFont="1" applyFill="1" applyBorder="1" applyAlignment="1">
      <alignment horizontal="center" vertical="center" wrapText="1"/>
    </xf>
    <xf numFmtId="175" fontId="60" fillId="0" borderId="92" xfId="0" applyNumberFormat="1" applyFont="1" applyFill="1" applyBorder="1"/>
    <xf numFmtId="175" fontId="60" fillId="0" borderId="91" xfId="0" applyNumberFormat="1" applyFont="1" applyFill="1" applyBorder="1"/>
    <xf numFmtId="0" fontId="87" fillId="0" borderId="12" xfId="0" applyFont="1" applyFill="1" applyBorder="1" applyAlignment="1">
      <alignment horizontal="center" vertical="center" wrapText="1"/>
    </xf>
    <xf numFmtId="1" fontId="6" fillId="0" borderId="47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16" fillId="32" borderId="45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86" xfId="0" applyNumberFormat="1" applyFont="1" applyFill="1" applyBorder="1" applyAlignment="1">
      <alignment horizontal="center" vertical="center"/>
    </xf>
    <xf numFmtId="1" fontId="16" fillId="32" borderId="76" xfId="0" applyNumberFormat="1" applyFont="1" applyFill="1" applyBorder="1" applyAlignment="1">
      <alignment horizontal="center" vertical="center"/>
    </xf>
    <xf numFmtId="1" fontId="6" fillId="0" borderId="49" xfId="0" applyNumberFormat="1" applyFont="1" applyFill="1" applyBorder="1" applyAlignment="1">
      <alignment horizontal="center" vertical="center"/>
    </xf>
    <xf numFmtId="1" fontId="6" fillId="0" borderId="78" xfId="0" applyNumberFormat="1" applyFont="1" applyFill="1" applyBorder="1" applyAlignment="1">
      <alignment horizontal="center"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0" borderId="73" xfId="0" applyNumberFormat="1" applyFont="1" applyFill="1" applyBorder="1" applyAlignment="1">
      <alignment horizontal="center" vertical="center"/>
    </xf>
    <xf numFmtId="1" fontId="6" fillId="0" borderId="20" xfId="0" applyNumberFormat="1" applyFont="1" applyFill="1" applyBorder="1" applyAlignment="1">
      <alignment horizontal="center" vertical="center"/>
    </xf>
    <xf numFmtId="1" fontId="20" fillId="0" borderId="37" xfId="0" applyNumberFormat="1" applyFont="1" applyFill="1" applyBorder="1" applyAlignment="1">
      <alignment horizontal="center" vertical="center"/>
    </xf>
    <xf numFmtId="1" fontId="20" fillId="0" borderId="37" xfId="0" applyNumberFormat="1" applyFont="1" applyFill="1" applyBorder="1" applyAlignment="1">
      <alignment horizontal="center" vertical="center" wrapText="1"/>
    </xf>
    <xf numFmtId="1" fontId="6" fillId="0" borderId="0" xfId="0" applyNumberFormat="1" applyFont="1"/>
    <xf numFmtId="177" fontId="90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Border="1" applyAlignment="1">
      <alignment horizontal="center" vertical="center"/>
    </xf>
    <xf numFmtId="4" fontId="20" fillId="3" borderId="6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Border="1" applyAlignment="1">
      <alignment horizontal="center" vertical="center"/>
    </xf>
    <xf numFmtId="169" fontId="2" fillId="0" borderId="4" xfId="0" applyNumberFormat="1" applyFont="1" applyBorder="1" applyAlignment="1">
      <alignment horizontal="center" vertical="center"/>
    </xf>
    <xf numFmtId="169" fontId="2" fillId="0" borderId="5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9" fontId="2" fillId="0" borderId="6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/>
    </xf>
    <xf numFmtId="169" fontId="2" fillId="0" borderId="10" xfId="0" applyNumberFormat="1" applyFont="1" applyBorder="1" applyAlignment="1">
      <alignment horizontal="center" vertical="center"/>
    </xf>
    <xf numFmtId="0" fontId="91" fillId="38" borderId="50" xfId="0" applyFont="1" applyFill="1" applyBorder="1" applyAlignment="1" applyProtection="1">
      <alignment horizontal="center" vertical="center"/>
      <protection hidden="1"/>
    </xf>
    <xf numFmtId="0" fontId="89" fillId="0" borderId="32" xfId="0" applyFont="1" applyFill="1" applyBorder="1" applyAlignment="1" applyProtection="1">
      <alignment horizontal="left" vertical="center"/>
      <protection hidden="1"/>
    </xf>
    <xf numFmtId="0" fontId="0" fillId="0" borderId="77" xfId="0" applyFill="1" applyBorder="1" applyAlignment="1" applyProtection="1">
      <alignment horizontal="left" vertical="center"/>
      <protection hidden="1"/>
    </xf>
    <xf numFmtId="0" fontId="6" fillId="0" borderId="77" xfId="0" applyFont="1" applyFill="1" applyBorder="1" applyAlignment="1" applyProtection="1">
      <alignment horizontal="center" vertical="center"/>
      <protection hidden="1"/>
    </xf>
    <xf numFmtId="0" fontId="89" fillId="0" borderId="47" xfId="0" applyFont="1" applyFill="1" applyBorder="1" applyAlignment="1" applyProtection="1">
      <alignment horizontal="left" vertical="center"/>
      <protection hidden="1"/>
    </xf>
    <xf numFmtId="0" fontId="0" fillId="0" borderId="72" xfId="0" applyFill="1" applyBorder="1" applyAlignment="1" applyProtection="1">
      <alignment vertical="center"/>
      <protection hidden="1"/>
    </xf>
    <xf numFmtId="0" fontId="6" fillId="0" borderId="72" xfId="0" applyFont="1" applyFill="1" applyBorder="1" applyAlignment="1" applyProtection="1">
      <alignment horizontal="center" vertical="center"/>
      <protection hidden="1"/>
    </xf>
    <xf numFmtId="0" fontId="89" fillId="0" borderId="29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3" borderId="42" xfId="0" applyFont="1" applyFill="1" applyBorder="1" applyAlignment="1" applyProtection="1">
      <alignment horizontal="center" vertical="center"/>
      <protection hidden="1"/>
    </xf>
    <xf numFmtId="0" fontId="88" fillId="3" borderId="6" xfId="0" applyFont="1" applyFill="1" applyBorder="1" applyAlignment="1" applyProtection="1">
      <alignment horizontal="left" vertical="center"/>
      <protection hidden="1"/>
    </xf>
    <xf numFmtId="0" fontId="0" fillId="3" borderId="9" xfId="0" applyFill="1" applyBorder="1" applyAlignment="1" applyProtection="1">
      <alignment vertical="center"/>
      <protection hidden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0" fontId="1" fillId="4" borderId="78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61" fillId="0" borderId="4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vertical="center"/>
    </xf>
    <xf numFmtId="0" fontId="2" fillId="0" borderId="9" xfId="0" applyFont="1" applyBorder="1"/>
    <xf numFmtId="0" fontId="2" fillId="0" borderId="4" xfId="0" applyFont="1" applyBorder="1"/>
    <xf numFmtId="0" fontId="92" fillId="0" borderId="40" xfId="0" applyFont="1" applyFill="1" applyBorder="1" applyAlignment="1">
      <alignment horizontal="center" vertical="center"/>
    </xf>
    <xf numFmtId="3" fontId="93" fillId="0" borderId="21" xfId="0" applyNumberFormat="1" applyFont="1" applyFill="1" applyBorder="1" applyAlignment="1">
      <alignment horizontal="center" vertical="center"/>
    </xf>
    <xf numFmtId="3" fontId="93" fillId="0" borderId="22" xfId="0" applyNumberFormat="1" applyFont="1" applyFill="1" applyBorder="1" applyAlignment="1">
      <alignment horizontal="center" vertical="center"/>
    </xf>
    <xf numFmtId="3" fontId="92" fillId="0" borderId="51" xfId="0" applyNumberFormat="1" applyFont="1" applyFill="1" applyBorder="1" applyAlignment="1">
      <alignment horizontal="center" vertical="center"/>
    </xf>
    <xf numFmtId="0" fontId="92" fillId="0" borderId="16" xfId="0" applyFont="1" applyFill="1" applyBorder="1" applyAlignment="1">
      <alignment horizontal="center" vertical="center"/>
    </xf>
    <xf numFmtId="3" fontId="93" fillId="0" borderId="4" xfId="0" applyNumberFormat="1" applyFont="1" applyFill="1" applyBorder="1" applyAlignment="1">
      <alignment horizontal="center" vertical="center"/>
    </xf>
    <xf numFmtId="3" fontId="93" fillId="0" borderId="1" xfId="0" applyNumberFormat="1" applyFont="1" applyFill="1" applyBorder="1" applyAlignment="1">
      <alignment horizontal="center" vertical="center"/>
    </xf>
    <xf numFmtId="3" fontId="93" fillId="0" borderId="19" xfId="0" applyNumberFormat="1" applyFont="1" applyFill="1" applyBorder="1" applyAlignment="1">
      <alignment horizontal="center" vertical="center"/>
    </xf>
    <xf numFmtId="3" fontId="93" fillId="0" borderId="9" xfId="0" applyNumberFormat="1" applyFont="1" applyFill="1" applyBorder="1" applyAlignment="1">
      <alignment horizontal="center" vertical="center"/>
    </xf>
    <xf numFmtId="3" fontId="92" fillId="0" borderId="12" xfId="0" applyNumberFormat="1" applyFont="1" applyFill="1" applyBorder="1" applyAlignment="1">
      <alignment horizontal="center" vertical="center"/>
    </xf>
    <xf numFmtId="0" fontId="20" fillId="3" borderId="28" xfId="0" applyFont="1" applyFill="1" applyBorder="1" applyAlignment="1">
      <alignment vertical="center" wrapText="1"/>
    </xf>
    <xf numFmtId="175" fontId="20" fillId="3" borderId="13" xfId="145" applyNumberFormat="1" applyFont="1" applyFill="1" applyBorder="1" applyAlignment="1">
      <alignment horizontal="right" vertical="center" wrapText="1"/>
    </xf>
    <xf numFmtId="0" fontId="92" fillId="0" borderId="0" xfId="0" applyFont="1"/>
    <xf numFmtId="0" fontId="93" fillId="0" borderId="0" xfId="0" applyFont="1"/>
    <xf numFmtId="0" fontId="93" fillId="0" borderId="2" xfId="0" applyFont="1" applyBorder="1" applyAlignment="1">
      <alignment horizontal="left" vertical="center"/>
    </xf>
    <xf numFmtId="0" fontId="93" fillId="0" borderId="51" xfId="0" applyFont="1" applyBorder="1" applyAlignment="1">
      <alignment horizontal="center" vertical="center"/>
    </xf>
    <xf numFmtId="0" fontId="93" fillId="0" borderId="12" xfId="0" applyFont="1" applyBorder="1" applyAlignment="1">
      <alignment horizontal="center" vertical="center" wrapText="1"/>
    </xf>
    <xf numFmtId="0" fontId="93" fillId="0" borderId="13" xfId="0" applyFont="1" applyBorder="1" applyAlignment="1">
      <alignment horizontal="center" vertical="center" wrapText="1"/>
    </xf>
    <xf numFmtId="0" fontId="93" fillId="0" borderId="57" xfId="0" applyFont="1" applyBorder="1" applyAlignment="1">
      <alignment horizontal="left" vertical="center"/>
    </xf>
    <xf numFmtId="0" fontId="93" fillId="0" borderId="48" xfId="0" applyFont="1" applyBorder="1" applyAlignment="1">
      <alignment horizontal="center" vertical="center"/>
    </xf>
    <xf numFmtId="0" fontId="93" fillId="0" borderId="27" xfId="0" applyFont="1" applyBorder="1" applyAlignment="1">
      <alignment horizontal="center" vertical="center"/>
    </xf>
    <xf numFmtId="2" fontId="93" fillId="0" borderId="75" xfId="0" applyNumberFormat="1" applyFont="1" applyBorder="1" applyAlignment="1">
      <alignment horizontal="center" vertical="center"/>
    </xf>
    <xf numFmtId="0" fontId="93" fillId="0" borderId="24" xfId="0" applyFont="1" applyBorder="1" applyAlignment="1">
      <alignment horizontal="center" vertical="center"/>
    </xf>
    <xf numFmtId="0" fontId="93" fillId="0" borderId="53" xfId="0" applyFont="1" applyBorder="1" applyAlignment="1">
      <alignment horizontal="left" vertical="center"/>
    </xf>
    <xf numFmtId="0" fontId="93" fillId="0" borderId="34" xfId="0" applyFont="1" applyBorder="1" applyAlignment="1">
      <alignment horizontal="center" vertical="center"/>
    </xf>
    <xf numFmtId="0" fontId="93" fillId="0" borderId="1" xfId="0" applyFont="1" applyBorder="1" applyAlignment="1">
      <alignment horizontal="center" vertical="center"/>
    </xf>
    <xf numFmtId="2" fontId="93" fillId="0" borderId="52" xfId="0" applyNumberFormat="1" applyFont="1" applyBorder="1" applyAlignment="1">
      <alignment horizontal="center" vertical="center"/>
    </xf>
    <xf numFmtId="0" fontId="93" fillId="0" borderId="8" xfId="0" applyFont="1" applyBorder="1" applyAlignment="1">
      <alignment horizontal="center" vertical="center"/>
    </xf>
    <xf numFmtId="0" fontId="93" fillId="0" borderId="54" xfId="0" applyFont="1" applyBorder="1" applyAlignment="1">
      <alignment horizontal="left" vertical="center"/>
    </xf>
    <xf numFmtId="0" fontId="93" fillId="0" borderId="22" xfId="0" applyFont="1" applyBorder="1" applyAlignment="1">
      <alignment horizontal="center" vertical="center"/>
    </xf>
    <xf numFmtId="0" fontId="93" fillId="0" borderId="9" xfId="0" applyFont="1" applyBorder="1" applyAlignment="1">
      <alignment horizontal="center" vertical="center"/>
    </xf>
    <xf numFmtId="2" fontId="93" fillId="0" borderId="83" xfId="0" applyNumberFormat="1" applyFont="1" applyBorder="1" applyAlignment="1">
      <alignment horizontal="center" vertical="center"/>
    </xf>
    <xf numFmtId="0" fontId="93" fillId="0" borderId="10" xfId="0" applyFont="1" applyBorder="1" applyAlignment="1">
      <alignment horizontal="center" vertical="center"/>
    </xf>
    <xf numFmtId="0" fontId="93" fillId="0" borderId="57" xfId="0" applyFont="1" applyBorder="1" applyAlignment="1">
      <alignment wrapText="1"/>
    </xf>
    <xf numFmtId="0" fontId="93" fillId="0" borderId="75" xfId="0" applyFont="1" applyBorder="1" applyAlignment="1">
      <alignment horizontal="center" vertical="center"/>
    </xf>
    <xf numFmtId="0" fontId="93" fillId="0" borderId="54" xfId="0" applyFont="1" applyBorder="1"/>
    <xf numFmtId="0" fontId="93" fillId="0" borderId="83" xfId="0" applyFont="1" applyBorder="1" applyAlignment="1">
      <alignment horizontal="center" vertical="center"/>
    </xf>
    <xf numFmtId="2" fontId="93" fillId="0" borderId="10" xfId="0" applyNumberFormat="1" applyFont="1" applyBorder="1" applyAlignment="1">
      <alignment horizontal="center" vertical="center"/>
    </xf>
    <xf numFmtId="0" fontId="91" fillId="38" borderId="50" xfId="0" applyFont="1" applyFill="1" applyBorder="1" applyAlignment="1" applyProtection="1">
      <alignment horizontal="center"/>
      <protection hidden="1"/>
    </xf>
    <xf numFmtId="2" fontId="2" fillId="0" borderId="0" xfId="0" applyNumberFormat="1" applyFont="1"/>
    <xf numFmtId="0" fontId="91" fillId="38" borderId="13" xfId="0" applyFont="1" applyFill="1" applyBorder="1" applyAlignment="1" applyProtection="1">
      <alignment horizontal="center"/>
      <protection hidden="1"/>
    </xf>
    <xf numFmtId="0" fontId="0" fillId="3" borderId="62" xfId="0" applyFill="1" applyBorder="1" applyAlignment="1" applyProtection="1">
      <alignment vertical="center"/>
      <protection hidden="1"/>
    </xf>
    <xf numFmtId="4" fontId="20" fillId="3" borderId="31" xfId="0" applyNumberFormat="1" applyFont="1" applyFill="1" applyBorder="1" applyAlignment="1" applyProtection="1">
      <alignment horizontal="center" vertical="center"/>
      <protection hidden="1"/>
    </xf>
    <xf numFmtId="4" fontId="20" fillId="3" borderId="62" xfId="0" applyNumberFormat="1" applyFont="1" applyFill="1" applyBorder="1" applyAlignment="1" applyProtection="1">
      <alignment horizontal="center" vertical="center"/>
      <protection hidden="1"/>
    </xf>
    <xf numFmtId="4" fontId="20" fillId="3" borderId="35" xfId="0" applyNumberFormat="1" applyFont="1" applyFill="1" applyBorder="1" applyAlignment="1" applyProtection="1">
      <alignment horizontal="center" vertical="center"/>
      <protection hidden="1"/>
    </xf>
    <xf numFmtId="0" fontId="0" fillId="3" borderId="4" xfId="0" applyFont="1" applyFill="1" applyBorder="1" applyAlignment="1" applyProtection="1">
      <alignment vertical="center"/>
      <protection hidden="1"/>
    </xf>
    <xf numFmtId="0" fontId="89" fillId="3" borderId="15" xfId="0" applyFont="1" applyFill="1" applyBorder="1" applyAlignment="1" applyProtection="1">
      <alignment horizontal="left" vertical="center"/>
      <protection hidden="1"/>
    </xf>
    <xf numFmtId="0" fontId="88" fillId="3" borderId="7" xfId="0" applyFont="1" applyFill="1" applyBorder="1" applyAlignment="1" applyProtection="1">
      <alignment horizontal="left" vertical="center"/>
      <protection hidden="1"/>
    </xf>
    <xf numFmtId="0" fontId="6" fillId="3" borderId="30" xfId="0" applyFont="1" applyFill="1" applyBorder="1" applyAlignment="1" applyProtection="1">
      <alignment horizontal="center"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176" fontId="2" fillId="0" borderId="51" xfId="145" applyNumberFormat="1" applyFont="1" applyFill="1" applyBorder="1" applyAlignment="1">
      <alignment horizontal="center" vertical="center"/>
    </xf>
    <xf numFmtId="176" fontId="2" fillId="0" borderId="12" xfId="145" applyNumberFormat="1" applyFont="1" applyFill="1" applyBorder="1" applyAlignment="1">
      <alignment horizontal="center" vertical="center"/>
    </xf>
    <xf numFmtId="176" fontId="2" fillId="0" borderId="13" xfId="145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1" fillId="38" borderId="25" xfId="0" applyFont="1" applyFill="1" applyBorder="1" applyAlignment="1" applyProtection="1">
      <alignment horizontal="center" vertical="center" wrapText="1"/>
      <protection hidden="1"/>
    </xf>
    <xf numFmtId="0" fontId="6" fillId="0" borderId="45" xfId="0" applyFont="1" applyFill="1" applyBorder="1" applyAlignment="1">
      <alignment horizontal="left" vertical="center"/>
    </xf>
    <xf numFmtId="0" fontId="26" fillId="0" borderId="34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 wrapText="1"/>
    </xf>
    <xf numFmtId="175" fontId="0" fillId="0" borderId="5" xfId="0" applyNumberFormat="1" applyFill="1" applyBorder="1"/>
    <xf numFmtId="175" fontId="0" fillId="0" borderId="10" xfId="0" applyNumberFormat="1" applyFill="1" applyBorder="1"/>
    <xf numFmtId="0" fontId="0" fillId="0" borderId="2" xfId="0" applyFill="1" applyBorder="1" applyAlignment="1">
      <alignment horizontal="center" vertical="center"/>
    </xf>
    <xf numFmtId="175" fontId="0" fillId="0" borderId="51" xfId="145" applyNumberFormat="1" applyFont="1" applyFill="1" applyBorder="1"/>
    <xf numFmtId="175" fontId="60" fillId="0" borderId="12" xfId="0" applyNumberFormat="1" applyFont="1" applyFill="1" applyBorder="1"/>
    <xf numFmtId="175" fontId="0" fillId="0" borderId="55" xfId="0" applyNumberFormat="1" applyFont="1" applyFill="1" applyBorder="1"/>
    <xf numFmtId="0" fontId="2" fillId="0" borderId="1" xfId="0" applyFont="1" applyBorder="1" applyAlignment="1">
      <alignment horizontal="center" vertical="center"/>
    </xf>
    <xf numFmtId="10" fontId="26" fillId="0" borderId="3" xfId="0" applyNumberFormat="1" applyFont="1" applyFill="1" applyBorder="1" applyAlignment="1">
      <alignment horizontal="center" vertical="center"/>
    </xf>
    <xf numFmtId="10" fontId="26" fillId="0" borderId="4" xfId="0" applyNumberFormat="1" applyFont="1" applyFill="1" applyBorder="1" applyAlignment="1">
      <alignment horizontal="center" vertical="center"/>
    </xf>
    <xf numFmtId="0" fontId="2" fillId="0" borderId="34" xfId="0" applyFont="1" applyBorder="1"/>
    <xf numFmtId="0" fontId="2" fillId="0" borderId="1" xfId="0" applyFont="1" applyBorder="1" applyAlignment="1">
      <alignment horizontal="center" vertical="center"/>
    </xf>
    <xf numFmtId="0" fontId="26" fillId="0" borderId="1" xfId="0" applyFont="1" applyBorder="1"/>
    <xf numFmtId="1" fontId="2" fillId="0" borderId="0" xfId="0" applyNumberFormat="1" applyFont="1" applyAlignment="1">
      <alignment horizontal="center" vertical="center"/>
    </xf>
    <xf numFmtId="3" fontId="2" fillId="0" borderId="7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5" fontId="2" fillId="4" borderId="0" xfId="145" applyNumberFormat="1" applyFont="1" applyFill="1" applyBorder="1"/>
    <xf numFmtId="17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7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3" fontId="93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3" fontId="93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/>
    </xf>
    <xf numFmtId="2" fontId="71" fillId="0" borderId="0" xfId="0" applyNumberFormat="1" applyFont="1"/>
    <xf numFmtId="0" fontId="98" fillId="0" borderId="1" xfId="0" applyFont="1" applyBorder="1" applyAlignment="1">
      <alignment horizontal="center" vertical="center" wrapText="1"/>
    </xf>
    <xf numFmtId="0" fontId="98" fillId="0" borderId="0" xfId="0" applyFont="1" applyAlignment="1">
      <alignment horizontal="center" vertical="center"/>
    </xf>
    <xf numFmtId="2" fontId="98" fillId="0" borderId="0" xfId="0" applyNumberFormat="1" applyFont="1" applyAlignment="1">
      <alignment horizontal="center" vertical="center"/>
    </xf>
    <xf numFmtId="3" fontId="98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47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167" fontId="99" fillId="0" borderId="0" xfId="148" applyNumberFormat="1" applyFont="1" applyAlignment="1">
      <alignment vertical="center"/>
    </xf>
    <xf numFmtId="49" fontId="6" fillId="39" borderId="26" xfId="0" applyNumberFormat="1" applyFont="1" applyFill="1" applyBorder="1" applyAlignment="1">
      <alignment horizontal="right"/>
    </xf>
    <xf numFmtId="3" fontId="6" fillId="39" borderId="27" xfId="0" applyNumberFormat="1" applyFont="1" applyFill="1" applyBorder="1"/>
    <xf numFmtId="3" fontId="6" fillId="39" borderId="24" xfId="0" applyNumberFormat="1" applyFont="1" applyFill="1" applyBorder="1"/>
    <xf numFmtId="49" fontId="6" fillId="39" borderId="29" xfId="0" applyNumberFormat="1" applyFont="1" applyFill="1" applyBorder="1"/>
    <xf numFmtId="0" fontId="2" fillId="0" borderId="0" xfId="0" applyFont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166" fontId="49" fillId="0" borderId="1" xfId="1" applyNumberFormat="1" applyFont="1" applyFill="1" applyBorder="1" applyAlignment="1">
      <alignment horizontal="center" vertical="center"/>
    </xf>
    <xf numFmtId="166" fontId="49" fillId="0" borderId="52" xfId="1" applyNumberFormat="1" applyFont="1" applyFill="1" applyBorder="1" applyAlignment="1">
      <alignment horizontal="center" vertical="center"/>
    </xf>
    <xf numFmtId="166" fontId="20" fillId="0" borderId="23" xfId="1" applyNumberFormat="1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vertical="center"/>
    </xf>
    <xf numFmtId="166" fontId="20" fillId="0" borderId="53" xfId="1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3" fontId="8" fillId="0" borderId="18" xfId="2" applyNumberFormat="1" applyFont="1" applyFill="1" applyBorder="1"/>
    <xf numFmtId="3" fontId="50" fillId="0" borderId="19" xfId="14" applyNumberFormat="1" applyFont="1" applyFill="1" applyBorder="1" applyAlignment="1">
      <alignment horizontal="center" vertical="center"/>
    </xf>
    <xf numFmtId="3" fontId="50" fillId="0" borderId="79" xfId="14" applyNumberFormat="1" applyFont="1" applyFill="1" applyBorder="1" applyAlignment="1">
      <alignment horizontal="center" vertical="center"/>
    </xf>
    <xf numFmtId="166" fontId="8" fillId="0" borderId="74" xfId="0" applyNumberFormat="1" applyFont="1" applyFill="1" applyBorder="1" applyAlignment="1">
      <alignment horizontal="center" vertical="center"/>
    </xf>
    <xf numFmtId="0" fontId="26" fillId="0" borderId="0" xfId="0" applyFont="1" applyFill="1"/>
    <xf numFmtId="3" fontId="8" fillId="0" borderId="31" xfId="2" applyNumberFormat="1" applyFont="1" applyFill="1" applyBorder="1"/>
    <xf numFmtId="3" fontId="50" fillId="0" borderId="62" xfId="14" applyNumberFormat="1" applyFont="1" applyFill="1" applyBorder="1" applyAlignment="1">
      <alignment horizontal="center" vertical="center"/>
    </xf>
    <xf numFmtId="3" fontId="50" fillId="0" borderId="43" xfId="14" applyNumberFormat="1" applyFont="1" applyFill="1" applyBorder="1" applyAlignment="1">
      <alignment horizontal="center" vertical="center"/>
    </xf>
    <xf numFmtId="3" fontId="8" fillId="0" borderId="26" xfId="2" applyNumberFormat="1" applyFont="1" applyFill="1" applyBorder="1"/>
    <xf numFmtId="3" fontId="50" fillId="0" borderId="27" xfId="14" applyNumberFormat="1" applyFont="1" applyFill="1" applyBorder="1" applyAlignment="1">
      <alignment horizontal="center" vertical="center"/>
    </xf>
    <xf numFmtId="3" fontId="50" fillId="0" borderId="80" xfId="14" applyNumberFormat="1" applyFont="1" applyFill="1" applyBorder="1" applyAlignment="1">
      <alignment horizontal="center" vertical="center"/>
    </xf>
    <xf numFmtId="166" fontId="49" fillId="0" borderId="73" xfId="1" applyNumberFormat="1" applyFont="1" applyFill="1" applyBorder="1" applyAlignment="1">
      <alignment horizontal="center" vertical="center"/>
    </xf>
    <xf numFmtId="166" fontId="20" fillId="0" borderId="74" xfId="1" applyNumberFormat="1" applyFont="1" applyFill="1" applyBorder="1" applyAlignment="1">
      <alignment horizontal="center" vertical="center"/>
    </xf>
    <xf numFmtId="3" fontId="7" fillId="0" borderId="62" xfId="14" applyNumberFormat="1" applyFill="1" applyBorder="1" applyAlignment="1">
      <alignment horizontal="center" vertical="center"/>
    </xf>
    <xf numFmtId="3" fontId="7" fillId="0" borderId="79" xfId="14" applyNumberFormat="1" applyFill="1" applyBorder="1" applyAlignment="1">
      <alignment horizontal="center" vertical="center"/>
    </xf>
    <xf numFmtId="3" fontId="7" fillId="0" borderId="27" xfId="14" applyNumberFormat="1" applyFill="1" applyBorder="1" applyAlignment="1">
      <alignment horizontal="center" vertical="center"/>
    </xf>
    <xf numFmtId="3" fontId="7" fillId="0" borderId="80" xfId="14" applyNumberFormat="1" applyFill="1" applyBorder="1" applyAlignment="1">
      <alignment horizontal="center" vertical="center"/>
    </xf>
    <xf numFmtId="1" fontId="49" fillId="0" borderId="1" xfId="1" applyNumberFormat="1" applyFont="1" applyFill="1" applyBorder="1" applyAlignment="1">
      <alignment horizontal="center" vertical="center"/>
    </xf>
    <xf numFmtId="166" fontId="20" fillId="0" borderId="81" xfId="1" applyNumberFormat="1" applyFont="1" applyFill="1" applyBorder="1" applyAlignment="1">
      <alignment horizontal="center" vertical="center"/>
    </xf>
    <xf numFmtId="3" fontId="8" fillId="0" borderId="39" xfId="2" applyNumberFormat="1" applyFont="1" applyFill="1" applyBorder="1"/>
    <xf numFmtId="3" fontId="50" fillId="0" borderId="49" xfId="14" applyNumberFormat="1" applyFont="1" applyFill="1" applyBorder="1" applyAlignment="1">
      <alignment horizontal="center" vertical="center"/>
    </xf>
    <xf numFmtId="166" fontId="8" fillId="0" borderId="58" xfId="0" applyNumberFormat="1" applyFont="1" applyFill="1" applyBorder="1" applyAlignment="1">
      <alignment horizontal="center" vertical="center"/>
    </xf>
    <xf numFmtId="1" fontId="49" fillId="0" borderId="52" xfId="1" applyNumberFormat="1" applyFont="1" applyFill="1" applyBorder="1" applyAlignment="1">
      <alignment horizontal="center" vertical="center"/>
    </xf>
    <xf numFmtId="0" fontId="0" fillId="0" borderId="0" xfId="0" applyFont="1" applyFill="1"/>
    <xf numFmtId="0" fontId="52" fillId="0" borderId="0" xfId="0" applyFont="1" applyFill="1"/>
    <xf numFmtId="166" fontId="8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/>
    <xf numFmtId="166" fontId="0" fillId="0" borderId="0" xfId="0" applyNumberFormat="1" applyFill="1"/>
    <xf numFmtId="166" fontId="20" fillId="0" borderId="16" xfId="1" applyNumberFormat="1" applyFont="1" applyFill="1" applyBorder="1" applyAlignment="1">
      <alignment horizontal="center" vertical="center"/>
    </xf>
    <xf numFmtId="166" fontId="20" fillId="0" borderId="30" xfId="1" applyNumberFormat="1" applyFont="1" applyFill="1" applyBorder="1" applyAlignment="1">
      <alignment horizontal="center" vertical="center"/>
    </xf>
    <xf numFmtId="166" fontId="20" fillId="0" borderId="1" xfId="1" applyNumberFormat="1" applyFont="1" applyFill="1" applyBorder="1" applyAlignment="1">
      <alignment horizontal="center" vertical="center"/>
    </xf>
    <xf numFmtId="1" fontId="20" fillId="0" borderId="1" xfId="1" applyNumberFormat="1" applyFont="1" applyFill="1" applyBorder="1" applyAlignment="1">
      <alignment horizontal="center" vertical="center"/>
    </xf>
    <xf numFmtId="166" fontId="8" fillId="0" borderId="19" xfId="1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>
      <alignment horizontal="center" vertical="center"/>
    </xf>
    <xf numFmtId="166" fontId="8" fillId="0" borderId="62" xfId="1" applyNumberFormat="1" applyFont="1" applyFill="1" applyBorder="1" applyAlignment="1">
      <alignment horizontal="center" vertical="center"/>
    </xf>
    <xf numFmtId="1" fontId="8" fillId="0" borderId="35" xfId="1" applyNumberFormat="1" applyFont="1" applyFill="1" applyBorder="1" applyAlignment="1">
      <alignment horizontal="center" vertical="center"/>
    </xf>
    <xf numFmtId="1" fontId="8" fillId="0" borderId="62" xfId="1" applyNumberFormat="1" applyFont="1" applyFill="1" applyBorder="1" applyAlignment="1">
      <alignment horizontal="center" vertical="center"/>
    </xf>
    <xf numFmtId="1" fontId="8" fillId="0" borderId="74" xfId="0" applyNumberFormat="1" applyFont="1" applyFill="1" applyBorder="1" applyAlignment="1">
      <alignment horizontal="center" vertical="center"/>
    </xf>
    <xf numFmtId="166" fontId="8" fillId="0" borderId="27" xfId="1" applyNumberFormat="1" applyFont="1" applyFill="1" applyBorder="1" applyAlignment="1">
      <alignment horizontal="center" vertical="center"/>
    </xf>
    <xf numFmtId="175" fontId="8" fillId="0" borderId="74" xfId="145" applyNumberFormat="1" applyFont="1" applyFill="1" applyBorder="1" applyAlignment="1">
      <alignment horizontal="center" vertical="center"/>
    </xf>
    <xf numFmtId="166" fontId="8" fillId="0" borderId="84" xfId="1" applyNumberFormat="1" applyFont="1" applyFill="1" applyBorder="1" applyAlignment="1">
      <alignment horizontal="center" vertical="center"/>
    </xf>
    <xf numFmtId="166" fontId="8" fillId="0" borderId="49" xfId="1" applyNumberFormat="1" applyFont="1" applyFill="1" applyBorder="1" applyAlignment="1">
      <alignment horizontal="center" vertical="center"/>
    </xf>
    <xf numFmtId="166" fontId="8" fillId="0" borderId="10" xfId="1" applyNumberFormat="1" applyFont="1" applyFill="1" applyBorder="1" applyAlignment="1">
      <alignment horizontal="center" vertical="center"/>
    </xf>
    <xf numFmtId="0" fontId="16" fillId="0" borderId="27" xfId="0" applyFont="1" applyFill="1" applyBorder="1" applyAlignment="1" applyProtection="1">
      <alignment horizontal="left"/>
    </xf>
    <xf numFmtId="3" fontId="16" fillId="0" borderId="27" xfId="0" applyNumberFormat="1" applyFont="1" applyFill="1" applyBorder="1"/>
    <xf numFmtId="49" fontId="16" fillId="0" borderId="27" xfId="0" applyNumberFormat="1" applyFont="1" applyFill="1" applyBorder="1" applyAlignment="1">
      <alignment horizontal="right"/>
    </xf>
    <xf numFmtId="0" fontId="16" fillId="0" borderId="75" xfId="0" applyFont="1" applyFill="1" applyBorder="1"/>
    <xf numFmtId="0" fontId="16" fillId="0" borderId="1" xfId="0" applyFont="1" applyFill="1" applyBorder="1" applyAlignment="1" applyProtection="1">
      <alignment horizontal="left"/>
    </xf>
    <xf numFmtId="49" fontId="16" fillId="0" borderId="1" xfId="0" applyNumberFormat="1" applyFont="1" applyFill="1" applyBorder="1" applyAlignment="1">
      <alignment horizontal="right"/>
    </xf>
    <xf numFmtId="49" fontId="16" fillId="0" borderId="19" xfId="0" applyNumberFormat="1" applyFont="1" applyFill="1" applyBorder="1" applyAlignment="1">
      <alignment horizontal="right"/>
    </xf>
    <xf numFmtId="49" fontId="16" fillId="0" borderId="0" xfId="0" applyNumberFormat="1" applyFont="1" applyFill="1" applyBorder="1" applyAlignment="1">
      <alignment horizontal="right"/>
    </xf>
    <xf numFmtId="3" fontId="16" fillId="0" borderId="75" xfId="0" applyNumberFormat="1" applyFont="1" applyFill="1" applyBorder="1"/>
    <xf numFmtId="0" fontId="16" fillId="0" borderId="19" xfId="0" applyFont="1" applyFill="1" applyBorder="1" applyAlignment="1" applyProtection="1">
      <alignment horizontal="left"/>
    </xf>
    <xf numFmtId="3" fontId="16" fillId="0" borderId="0" xfId="0" applyNumberFormat="1" applyFont="1" applyFill="1" applyBorder="1"/>
    <xf numFmtId="0" fontId="16" fillId="0" borderId="0" xfId="0" applyFont="1" applyFill="1" applyBorder="1"/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49" fontId="6" fillId="0" borderId="26" xfId="0" applyNumberFormat="1" applyFont="1" applyFill="1" applyBorder="1" applyAlignment="1">
      <alignment horizontal="right"/>
    </xf>
    <xf numFmtId="3" fontId="6" fillId="0" borderId="27" xfId="0" applyNumberFormat="1" applyFont="1" applyFill="1" applyBorder="1"/>
    <xf numFmtId="3" fontId="6" fillId="0" borderId="24" xfId="0" applyNumberFormat="1" applyFont="1" applyFill="1" applyBorder="1"/>
    <xf numFmtId="0" fontId="6" fillId="0" borderId="7" xfId="0" applyFont="1" applyFill="1" applyBorder="1" applyAlignment="1" applyProtection="1">
      <alignment horizontal="left"/>
    </xf>
    <xf numFmtId="49" fontId="6" fillId="0" borderId="7" xfId="0" applyNumberFormat="1" applyFont="1" applyFill="1" applyBorder="1" applyAlignment="1">
      <alignment horizontal="right"/>
    </xf>
    <xf numFmtId="3" fontId="20" fillId="0" borderId="13" xfId="0" applyNumberFormat="1" applyFont="1" applyFill="1" applyBorder="1" applyProtection="1"/>
    <xf numFmtId="174" fontId="0" fillId="0" borderId="0" xfId="0" applyNumberFormat="1" applyFill="1"/>
    <xf numFmtId="173" fontId="26" fillId="0" borderId="0" xfId="0" applyNumberFormat="1" applyFont="1" applyFill="1"/>
    <xf numFmtId="0" fontId="25" fillId="0" borderId="0" xfId="0" applyFont="1" applyFill="1"/>
    <xf numFmtId="3" fontId="16" fillId="0" borderId="17" xfId="0" applyNumberFormat="1" applyFont="1" applyFill="1" applyBorder="1" applyAlignment="1" applyProtection="1">
      <alignment horizontal="right"/>
    </xf>
    <xf numFmtId="0" fontId="6" fillId="0" borderId="1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36" xfId="0" applyFont="1" applyFill="1" applyBorder="1" applyProtection="1"/>
    <xf numFmtId="168" fontId="6" fillId="0" borderId="17" xfId="0" applyNumberFormat="1" applyFont="1" applyFill="1" applyBorder="1" applyAlignment="1" applyProtection="1">
      <alignment horizontal="right"/>
    </xf>
    <xf numFmtId="0" fontId="6" fillId="0" borderId="7" xfId="0" applyFont="1" applyFill="1" applyBorder="1" applyProtection="1"/>
    <xf numFmtId="168" fontId="6" fillId="0" borderId="8" xfId="0" applyNumberFormat="1" applyFont="1" applyFill="1" applyBorder="1" applyAlignment="1" applyProtection="1">
      <alignment horizontal="right"/>
    </xf>
    <xf numFmtId="0" fontId="6" fillId="0" borderId="29" xfId="0" applyFont="1" applyFill="1" applyBorder="1" applyProtection="1"/>
    <xf numFmtId="168" fontId="6" fillId="0" borderId="24" xfId="0" applyNumberFormat="1" applyFont="1" applyFill="1" applyBorder="1" applyAlignment="1" applyProtection="1">
      <alignment horizontal="right"/>
    </xf>
    <xf numFmtId="168" fontId="6" fillId="0" borderId="35" xfId="0" applyNumberFormat="1" applyFont="1" applyFill="1" applyBorder="1" applyAlignment="1" applyProtection="1">
      <alignment horizontal="right"/>
      <protection locked="0"/>
    </xf>
    <xf numFmtId="165" fontId="6" fillId="0" borderId="29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90" xfId="0" applyFont="1" applyBorder="1" applyAlignment="1">
      <alignment vertical="center"/>
    </xf>
    <xf numFmtId="3" fontId="2" fillId="0" borderId="93" xfId="0" applyNumberFormat="1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72" xfId="0" applyFont="1" applyBorder="1" applyAlignment="1">
      <alignment horizontal="left" vertical="center"/>
    </xf>
    <xf numFmtId="170" fontId="26" fillId="0" borderId="24" xfId="0" applyNumberFormat="1" applyFont="1" applyFill="1" applyBorder="1" applyProtection="1">
      <protection locked="0"/>
    </xf>
    <xf numFmtId="170" fontId="26" fillId="0" borderId="10" xfId="0" applyNumberFormat="1" applyFont="1" applyFill="1" applyBorder="1" applyProtection="1">
      <protection locked="0"/>
    </xf>
    <xf numFmtId="49" fontId="6" fillId="0" borderId="26" xfId="4" applyNumberFormat="1" applyFont="1" applyFill="1" applyBorder="1" applyAlignment="1">
      <alignment horizontal="left"/>
    </xf>
    <xf numFmtId="49" fontId="6" fillId="0" borderId="27" xfId="9" applyNumberFormat="1" applyFont="1" applyFill="1" applyBorder="1" applyAlignment="1">
      <alignment horizontal="left"/>
    </xf>
    <xf numFmtId="49" fontId="6" fillId="0" borderId="7" xfId="4" applyNumberFormat="1" applyFont="1" applyFill="1" applyBorder="1" applyAlignment="1">
      <alignment horizontal="left"/>
    </xf>
    <xf numFmtId="49" fontId="6" fillId="0" borderId="1" xfId="16" applyNumberFormat="1" applyFont="1" applyFill="1" applyBorder="1" applyAlignment="1" applyProtection="1">
      <alignment vertical="center"/>
      <protection locked="0"/>
    </xf>
    <xf numFmtId="3" fontId="100" fillId="0" borderId="0" xfId="0" applyNumberFormat="1" applyFont="1"/>
    <xf numFmtId="49" fontId="6" fillId="0" borderId="6" xfId="4" applyNumberFormat="1" applyFont="1" applyFill="1" applyBorder="1" applyAlignment="1">
      <alignment horizontal="left"/>
    </xf>
    <xf numFmtId="49" fontId="6" fillId="0" borderId="9" xfId="16" applyNumberFormat="1" applyFont="1" applyFill="1" applyBorder="1" applyAlignment="1" applyProtection="1">
      <alignment vertical="center"/>
      <protection locked="0"/>
    </xf>
    <xf numFmtId="1" fontId="6" fillId="0" borderId="1" xfId="16" applyNumberFormat="1" applyFont="1" applyFill="1" applyBorder="1" applyAlignment="1" applyProtection="1">
      <alignment horizontal="center" vertical="center" wrapText="1"/>
      <protection locked="0"/>
    </xf>
    <xf numFmtId="0" fontId="101" fillId="0" borderId="0" xfId="0" applyFont="1"/>
    <xf numFmtId="49" fontId="6" fillId="0" borderId="3" xfId="16" applyNumberFormat="1" applyFont="1" applyFill="1" applyBorder="1" applyAlignment="1" applyProtection="1">
      <alignment vertical="center"/>
      <protection locked="0"/>
    </xf>
    <xf numFmtId="49" fontId="6" fillId="0" borderId="4" xfId="16" applyNumberFormat="1" applyFont="1" applyFill="1" applyBorder="1" applyAlignment="1" applyProtection="1">
      <alignment vertical="center"/>
      <protection locked="0"/>
    </xf>
    <xf numFmtId="0" fontId="6" fillId="0" borderId="4" xfId="16" applyFont="1" applyFill="1" applyBorder="1" applyAlignment="1" applyProtection="1">
      <alignment horizontal="center" vertical="center" wrapText="1"/>
      <protection locked="0"/>
    </xf>
    <xf numFmtId="170" fontId="26" fillId="0" borderId="5" xfId="0" applyNumberFormat="1" applyFont="1" applyFill="1" applyBorder="1" applyProtection="1">
      <protection locked="0"/>
    </xf>
    <xf numFmtId="49" fontId="6" fillId="0" borderId="7" xfId="16" applyNumberFormat="1" applyFont="1" applyFill="1" applyBorder="1" applyAlignment="1" applyProtection="1">
      <alignment vertical="center"/>
      <protection locked="0"/>
    </xf>
    <xf numFmtId="49" fontId="6" fillId="0" borderId="6" xfId="16" applyNumberFormat="1" applyFont="1" applyFill="1" applyBorder="1" applyAlignment="1" applyProtection="1">
      <alignment vertical="center"/>
      <protection locked="0"/>
    </xf>
    <xf numFmtId="1" fontId="6" fillId="0" borderId="9" xfId="16" applyNumberFormat="1" applyFont="1" applyFill="1" applyBorder="1" applyAlignment="1" applyProtection="1">
      <alignment horizontal="center" vertical="center" wrapText="1"/>
      <protection locked="0"/>
    </xf>
    <xf numFmtId="170" fontId="26" fillId="0" borderId="78" xfId="0" applyNumberFormat="1" applyFont="1" applyFill="1" applyBorder="1" applyProtection="1">
      <protection locked="0"/>
    </xf>
    <xf numFmtId="0" fontId="26" fillId="0" borderId="27" xfId="0" applyFont="1" applyFill="1" applyBorder="1" applyAlignment="1">
      <alignment horizontal="center" vertical="center"/>
    </xf>
    <xf numFmtId="1" fontId="26" fillId="0" borderId="27" xfId="0" applyNumberFormat="1" applyFont="1" applyFill="1" applyBorder="1" applyAlignment="1">
      <alignment horizontal="center" vertical="center"/>
    </xf>
    <xf numFmtId="1" fontId="26" fillId="0" borderId="9" xfId="0" applyNumberFormat="1" applyFont="1" applyFill="1" applyBorder="1" applyAlignment="1">
      <alignment horizontal="center" vertical="center"/>
    </xf>
    <xf numFmtId="1" fontId="6" fillId="0" borderId="4" xfId="16" applyNumberFormat="1" applyFont="1" applyFill="1" applyBorder="1" applyAlignment="1" applyProtection="1">
      <alignment horizontal="center" vertical="center" wrapText="1"/>
      <protection locked="0"/>
    </xf>
    <xf numFmtId="169" fontId="0" fillId="0" borderId="5" xfId="0" applyNumberFormat="1" applyBorder="1"/>
    <xf numFmtId="169" fontId="0" fillId="0" borderId="8" xfId="0" applyNumberFormat="1" applyBorder="1"/>
    <xf numFmtId="169" fontId="0" fillId="0" borderId="10" xfId="0" applyNumberFormat="1" applyBorder="1"/>
    <xf numFmtId="0" fontId="26" fillId="2" borderId="12" xfId="0" applyFont="1" applyFill="1" applyBorder="1" applyAlignment="1">
      <alignment horizontal="center" vertical="center"/>
    </xf>
    <xf numFmtId="49" fontId="6" fillId="0" borderId="37" xfId="16" applyNumberFormat="1" applyFont="1" applyFill="1" applyBorder="1" applyAlignment="1" applyProtection="1">
      <alignment vertical="center"/>
      <protection locked="0"/>
    </xf>
    <xf numFmtId="1" fontId="6" fillId="0" borderId="37" xfId="16" applyNumberFormat="1" applyFont="1" applyFill="1" applyBorder="1" applyAlignment="1" applyProtection="1">
      <alignment horizontal="center" vertical="center" wrapText="1"/>
      <protection locked="0"/>
    </xf>
    <xf numFmtId="170" fontId="26" fillId="0" borderId="37" xfId="0" applyNumberFormat="1" applyFont="1" applyFill="1" applyBorder="1" applyProtection="1">
      <protection locked="0"/>
    </xf>
    <xf numFmtId="0" fontId="91" fillId="38" borderId="55" xfId="0" applyFont="1" applyFill="1" applyBorder="1" applyAlignment="1" applyProtection="1">
      <alignment horizontal="center" vertical="center"/>
      <protection hidden="1"/>
    </xf>
    <xf numFmtId="169" fontId="2" fillId="0" borderId="33" xfId="0" applyNumberFormat="1" applyFont="1" applyBorder="1" applyAlignment="1">
      <alignment horizontal="center" vertical="center"/>
    </xf>
    <xf numFmtId="169" fontId="2" fillId="0" borderId="92" xfId="0" applyNumberFormat="1" applyFont="1" applyBorder="1" applyAlignment="1">
      <alignment horizontal="center" vertical="center"/>
    </xf>
    <xf numFmtId="169" fontId="2" fillId="0" borderId="91" xfId="0" applyNumberFormat="1" applyFont="1" applyBorder="1" applyAlignment="1">
      <alignment horizontal="center" vertical="center"/>
    </xf>
    <xf numFmtId="4" fontId="20" fillId="3" borderId="43" xfId="0" applyNumberFormat="1" applyFont="1" applyFill="1" applyBorder="1" applyAlignment="1" applyProtection="1">
      <alignment horizontal="center" vertical="center"/>
      <protection hidden="1"/>
    </xf>
    <xf numFmtId="0" fontId="91" fillId="38" borderId="12" xfId="0" applyFont="1" applyFill="1" applyBorder="1" applyAlignment="1" applyProtection="1">
      <alignment horizontal="center" vertical="center"/>
      <protection hidden="1"/>
    </xf>
    <xf numFmtId="0" fontId="89" fillId="3" borderId="7" xfId="0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vertical="center"/>
      <protection hidden="1"/>
    </xf>
    <xf numFmtId="4" fontId="6" fillId="3" borderId="3" xfId="0" applyNumberFormat="1" applyFont="1" applyFill="1" applyBorder="1" applyAlignment="1" applyProtection="1">
      <alignment horizontal="center" vertical="center"/>
      <protection hidden="1"/>
    </xf>
    <xf numFmtId="4" fontId="6" fillId="3" borderId="4" xfId="0" applyNumberFormat="1" applyFont="1" applyFill="1" applyBorder="1" applyAlignment="1" applyProtection="1">
      <alignment horizontal="center" vertical="center"/>
      <protection hidden="1"/>
    </xf>
    <xf numFmtId="4" fontId="6" fillId="3" borderId="5" xfId="0" applyNumberFormat="1" applyFont="1" applyFill="1" applyBorder="1" applyAlignment="1" applyProtection="1">
      <alignment horizontal="center" vertical="center"/>
      <protection hidden="1"/>
    </xf>
    <xf numFmtId="4" fontId="20" fillId="3" borderId="49" xfId="0" applyNumberFormat="1" applyFont="1" applyFill="1" applyBorder="1" applyAlignment="1" applyProtection="1">
      <alignment horizontal="center" vertical="center"/>
      <protection hidden="1"/>
    </xf>
    <xf numFmtId="4" fontId="20" fillId="3" borderId="78" xfId="0" applyNumberFormat="1" applyFont="1" applyFill="1" applyBorder="1" applyAlignment="1" applyProtection="1">
      <alignment horizontal="center" vertical="center"/>
      <protection hidden="1"/>
    </xf>
    <xf numFmtId="4" fontId="6" fillId="3" borderId="7" xfId="0" applyNumberFormat="1" applyFont="1" applyFill="1" applyBorder="1" applyAlignment="1" applyProtection="1">
      <alignment horizontal="center" vertical="center"/>
      <protection hidden="1"/>
    </xf>
    <xf numFmtId="4" fontId="6" fillId="3" borderId="1" xfId="0" applyNumberFormat="1" applyFont="1" applyFill="1" applyBorder="1" applyAlignment="1" applyProtection="1">
      <alignment horizontal="center" vertical="center"/>
      <protection hidden="1"/>
    </xf>
    <xf numFmtId="4" fontId="6" fillId="3" borderId="8" xfId="0" applyNumberFormat="1" applyFont="1" applyFill="1" applyBorder="1" applyAlignment="1" applyProtection="1">
      <alignment horizontal="center" vertical="center"/>
      <protection hidden="1"/>
    </xf>
    <xf numFmtId="0" fontId="6" fillId="3" borderId="10" xfId="0" applyFont="1" applyFill="1" applyBorder="1" applyAlignment="1" applyProtection="1">
      <alignment horizontal="center" vertical="center"/>
      <protection hidden="1"/>
    </xf>
    <xf numFmtId="0" fontId="88" fillId="3" borderId="39" xfId="0" applyFont="1" applyFill="1" applyBorder="1" applyAlignment="1" applyProtection="1">
      <alignment horizontal="left" vertical="center"/>
      <protection hidden="1"/>
    </xf>
    <xf numFmtId="0" fontId="6" fillId="3" borderId="94" xfId="0" applyFont="1" applyFill="1" applyBorder="1" applyAlignment="1" applyProtection="1">
      <alignment horizontal="center" vertical="center"/>
      <protection hidden="1"/>
    </xf>
    <xf numFmtId="0" fontId="6" fillId="3" borderId="52" xfId="0" applyFont="1" applyFill="1" applyBorder="1" applyAlignment="1" applyProtection="1">
      <alignment horizontal="center" vertical="center"/>
      <protection hidden="1"/>
    </xf>
    <xf numFmtId="4" fontId="6" fillId="3" borderId="33" xfId="0" applyNumberFormat="1" applyFont="1" applyFill="1" applyBorder="1" applyAlignment="1" applyProtection="1">
      <alignment horizontal="center" vertical="center"/>
      <protection hidden="1"/>
    </xf>
    <xf numFmtId="4" fontId="6" fillId="3" borderId="92" xfId="0" applyNumberFormat="1" applyFont="1" applyFill="1" applyBorder="1" applyAlignment="1" applyProtection="1">
      <alignment horizontal="center" vertical="center"/>
      <protection hidden="1"/>
    </xf>
    <xf numFmtId="0" fontId="20" fillId="2" borderId="45" xfId="0" applyFont="1" applyFill="1" applyBorder="1" applyProtection="1"/>
    <xf numFmtId="168" fontId="20" fillId="2" borderId="8" xfId="0" applyNumberFormat="1" applyFont="1" applyFill="1" applyBorder="1" applyAlignment="1" applyProtection="1">
      <alignment horizontal="right"/>
    </xf>
    <xf numFmtId="0" fontId="20" fillId="2" borderId="25" xfId="0" applyFont="1" applyFill="1" applyBorder="1" applyProtection="1"/>
    <xf numFmtId="168" fontId="20" fillId="2" borderId="13" xfId="0" applyNumberFormat="1" applyFont="1" applyFill="1" applyBorder="1" applyAlignment="1" applyProtection="1">
      <alignment horizontal="right"/>
    </xf>
    <xf numFmtId="0" fontId="102" fillId="0" borderId="1" xfId="0" applyFont="1" applyBorder="1" applyAlignment="1">
      <alignment horizontal="center" vertical="center" wrapText="1"/>
    </xf>
    <xf numFmtId="3" fontId="102" fillId="0" borderId="1" xfId="0" applyNumberFormat="1" applyFont="1" applyBorder="1" applyAlignment="1">
      <alignment horizontal="center" vertical="center"/>
    </xf>
    <xf numFmtId="170" fontId="0" fillId="0" borderId="0" xfId="0" applyNumberFormat="1"/>
    <xf numFmtId="0" fontId="28" fillId="0" borderId="36" xfId="0" applyFont="1" applyFill="1" applyBorder="1" applyAlignment="1">
      <alignment horizontal="center" vertical="center"/>
    </xf>
    <xf numFmtId="0" fontId="103" fillId="0" borderId="1" xfId="0" applyFont="1" applyFill="1" applyBorder="1" applyAlignment="1">
      <alignment horizontal="center" vertical="center" wrapText="1"/>
    </xf>
    <xf numFmtId="0" fontId="104" fillId="0" borderId="1" xfId="0" applyFont="1" applyFill="1" applyBorder="1" applyAlignment="1">
      <alignment horizontal="center" vertical="center" wrapText="1"/>
    </xf>
    <xf numFmtId="0" fontId="103" fillId="0" borderId="1" xfId="0" applyFont="1" applyBorder="1" applyAlignment="1">
      <alignment horizontal="center" vertical="center"/>
    </xf>
    <xf numFmtId="0" fontId="103" fillId="0" borderId="0" xfId="0" applyFont="1" applyAlignment="1">
      <alignment horizontal="center" vertical="center"/>
    </xf>
    <xf numFmtId="0" fontId="103" fillId="0" borderId="0" xfId="0" applyFont="1" applyAlignment="1">
      <alignment horizontal="left" vertical="center"/>
    </xf>
    <xf numFmtId="16" fontId="103" fillId="0" borderId="1" xfId="0" applyNumberFormat="1" applyFont="1" applyFill="1" applyBorder="1" applyAlignment="1">
      <alignment horizontal="center" vertical="center" wrapText="1"/>
    </xf>
    <xf numFmtId="0" fontId="103" fillId="0" borderId="1" xfId="0" applyFont="1" applyBorder="1" applyAlignment="1">
      <alignment horizontal="center" vertical="center"/>
    </xf>
    <xf numFmtId="49" fontId="103" fillId="0" borderId="1" xfId="0" applyNumberFormat="1" applyFont="1" applyBorder="1" applyAlignment="1">
      <alignment horizontal="center" vertical="center"/>
    </xf>
    <xf numFmtId="1" fontId="6" fillId="4" borderId="0" xfId="0" applyNumberFormat="1" applyFont="1" applyFill="1" applyBorder="1" applyAlignment="1">
      <alignment horizontal="center" vertical="center"/>
    </xf>
    <xf numFmtId="0" fontId="47" fillId="40" borderId="58" xfId="0" applyFont="1" applyFill="1" applyBorder="1" applyAlignment="1">
      <alignment horizontal="justify" vertical="center" wrapText="1"/>
    </xf>
    <xf numFmtId="0" fontId="47" fillId="40" borderId="61" xfId="0" applyFont="1" applyFill="1" applyBorder="1" applyAlignment="1">
      <alignment horizontal="justify" vertical="center" wrapText="1"/>
    </xf>
    <xf numFmtId="0" fontId="47" fillId="40" borderId="74" xfId="0" applyFont="1" applyFill="1" applyBorder="1" applyAlignment="1">
      <alignment horizontal="justify" vertical="center" wrapText="1"/>
    </xf>
    <xf numFmtId="0" fontId="47" fillId="40" borderId="43" xfId="0" applyFont="1" applyFill="1" applyBorder="1" applyAlignment="1">
      <alignment horizontal="justify" vertical="center" wrapText="1"/>
    </xf>
    <xf numFmtId="0" fontId="47" fillId="40" borderId="1" xfId="0" applyFont="1" applyFill="1" applyBorder="1" applyAlignment="1">
      <alignment vertical="center"/>
    </xf>
    <xf numFmtId="0" fontId="2" fillId="40" borderId="1" xfId="0" applyFont="1" applyFill="1" applyBorder="1" applyAlignment="1">
      <alignment horizontal="center" vertical="center"/>
    </xf>
    <xf numFmtId="0" fontId="47" fillId="40" borderId="1" xfId="0" applyFont="1" applyFill="1" applyBorder="1" applyAlignment="1">
      <alignment horizontal="justify" vertical="center" wrapText="1"/>
    </xf>
    <xf numFmtId="0" fontId="47" fillId="40" borderId="2" xfId="0" applyFont="1" applyFill="1" applyBorder="1" applyAlignment="1">
      <alignment horizontal="justify" vertical="center" wrapText="1"/>
    </xf>
    <xf numFmtId="0" fontId="47" fillId="40" borderId="55" xfId="0" applyFont="1" applyFill="1" applyBorder="1" applyAlignment="1">
      <alignment horizontal="justify" vertical="center" wrapText="1"/>
    </xf>
    <xf numFmtId="0" fontId="0" fillId="40" borderId="1" xfId="0" applyFill="1" applyBorder="1"/>
    <xf numFmtId="0" fontId="2" fillId="40" borderId="0" xfId="0" applyFont="1" applyFill="1" applyAlignment="1">
      <alignment horizontal="center" vertical="center"/>
    </xf>
    <xf numFmtId="0" fontId="0" fillId="40" borderId="0" xfId="0" applyFill="1"/>
    <xf numFmtId="0" fontId="47" fillId="40" borderId="0" xfId="0" applyFont="1" applyFill="1" applyBorder="1" applyAlignment="1">
      <alignment horizontal="justify" vertical="center" wrapText="1"/>
    </xf>
    <xf numFmtId="0" fontId="1" fillId="40" borderId="0" xfId="0" applyFont="1" applyFill="1" applyBorder="1" applyAlignment="1">
      <alignment horizontal="center" vertical="center"/>
    </xf>
    <xf numFmtId="10" fontId="2" fillId="40" borderId="0" xfId="0" applyNumberFormat="1" applyFont="1" applyFill="1" applyBorder="1" applyAlignment="1">
      <alignment horizontal="center" vertical="center"/>
    </xf>
    <xf numFmtId="0" fontId="47" fillId="40" borderId="61" xfId="0" applyFont="1" applyFill="1" applyBorder="1" applyAlignment="1">
      <alignment horizontal="center" vertical="center" wrapText="1"/>
    </xf>
    <xf numFmtId="0" fontId="47" fillId="40" borderId="58" xfId="0" applyFont="1" applyFill="1" applyBorder="1" applyAlignment="1">
      <alignment horizontal="center" vertical="center" wrapText="1"/>
    </xf>
    <xf numFmtId="0" fontId="47" fillId="40" borderId="14" xfId="0" applyFont="1" applyFill="1" applyBorder="1" applyAlignment="1">
      <alignment horizontal="center" vertical="center"/>
    </xf>
    <xf numFmtId="0" fontId="47" fillId="40" borderId="2" xfId="0" applyFont="1" applyFill="1" applyBorder="1" applyAlignment="1">
      <alignment horizontal="center" vertical="center" wrapText="1"/>
    </xf>
    <xf numFmtId="0" fontId="17" fillId="40" borderId="0" xfId="0" applyFont="1" applyFill="1" applyBorder="1" applyAlignment="1">
      <alignment horizontal="center" vertical="center"/>
    </xf>
    <xf numFmtId="0" fontId="16" fillId="40" borderId="0" xfId="0" applyFont="1" applyFill="1" applyAlignment="1">
      <alignment horizontal="left" vertical="center"/>
    </xf>
    <xf numFmtId="0" fontId="16" fillId="40" borderId="0" xfId="0" applyFont="1" applyFill="1"/>
    <xf numFmtId="0" fontId="16" fillId="4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0" applyFont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1" fontId="29" fillId="0" borderId="26" xfId="0" applyNumberFormat="1" applyFont="1" applyFill="1" applyBorder="1" applyAlignment="1">
      <alignment horizontal="center" vertical="center"/>
    </xf>
    <xf numFmtId="1" fontId="29" fillId="0" borderId="4" xfId="0" applyNumberFormat="1" applyFont="1" applyFill="1" applyBorder="1" applyAlignment="1">
      <alignment horizontal="center" vertical="center"/>
    </xf>
    <xf numFmtId="1" fontId="29" fillId="0" borderId="72" xfId="0" applyNumberFormat="1" applyFont="1" applyFill="1" applyBorder="1" applyAlignment="1">
      <alignment horizontal="center" vertical="center"/>
    </xf>
    <xf numFmtId="1" fontId="29" fillId="0" borderId="24" xfId="0" applyNumberFormat="1" applyFont="1" applyFill="1" applyBorder="1" applyAlignment="1">
      <alignment horizontal="center" vertical="center"/>
    </xf>
    <xf numFmtId="1" fontId="29" fillId="0" borderId="27" xfId="0" applyNumberFormat="1" applyFont="1" applyFill="1" applyBorder="1" applyAlignment="1">
      <alignment horizontal="center" vertical="center"/>
    </xf>
    <xf numFmtId="1" fontId="29" fillId="0" borderId="45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1" fontId="28" fillId="0" borderId="36" xfId="0" applyNumberFormat="1" applyFont="1" applyFill="1" applyBorder="1" applyAlignment="1">
      <alignment horizontal="center" vertical="center"/>
    </xf>
    <xf numFmtId="1" fontId="28" fillId="0" borderId="12" xfId="0" applyNumberFormat="1" applyFont="1" applyFill="1" applyBorder="1" applyAlignment="1">
      <alignment horizontal="center" vertical="center"/>
    </xf>
    <xf numFmtId="1" fontId="28" fillId="0" borderId="25" xfId="0" applyNumberFormat="1" applyFont="1" applyFill="1" applyBorder="1" applyAlignment="1">
      <alignment horizontal="center" vertical="center"/>
    </xf>
    <xf numFmtId="1" fontId="29" fillId="0" borderId="77" xfId="0" applyNumberFormat="1" applyFont="1" applyFill="1" applyBorder="1" applyAlignment="1">
      <alignment horizontal="center" vertical="center"/>
    </xf>
    <xf numFmtId="1" fontId="29" fillId="0" borderId="5" xfId="0" applyNumberFormat="1" applyFont="1" applyFill="1" applyBorder="1" applyAlignment="1">
      <alignment horizontal="center" vertical="center"/>
    </xf>
    <xf numFmtId="1" fontId="29" fillId="0" borderId="54" xfId="0" applyNumberFormat="1" applyFont="1" applyFill="1" applyBorder="1" applyAlignment="1">
      <alignment horizontal="center" vertical="center"/>
    </xf>
    <xf numFmtId="1" fontId="29" fillId="0" borderId="6" xfId="0" applyNumberFormat="1" applyFont="1" applyFill="1" applyBorder="1" applyAlignment="1">
      <alignment horizontal="center" vertical="center"/>
    </xf>
    <xf numFmtId="1" fontId="29" fillId="0" borderId="9" xfId="0" applyNumberFormat="1" applyFont="1" applyFill="1" applyBorder="1" applyAlignment="1">
      <alignment horizontal="center" vertical="center"/>
    </xf>
    <xf numFmtId="1" fontId="29" fillId="0" borderId="10" xfId="0" applyNumberFormat="1" applyFont="1" applyFill="1" applyBorder="1" applyAlignment="1">
      <alignment horizontal="center" vertical="center"/>
    </xf>
    <xf numFmtId="1" fontId="29" fillId="0" borderId="83" xfId="0" applyNumberFormat="1" applyFont="1" applyFill="1" applyBorder="1" applyAlignment="1">
      <alignment horizontal="center" vertical="center"/>
    </xf>
    <xf numFmtId="1" fontId="29" fillId="0" borderId="85" xfId="0" applyNumberFormat="1" applyFont="1" applyFill="1" applyBorder="1" applyAlignment="1">
      <alignment horizontal="center" vertical="center"/>
    </xf>
    <xf numFmtId="0" fontId="103" fillId="0" borderId="1" xfId="0" applyFont="1" applyBorder="1" applyAlignment="1">
      <alignment horizontal="center" vertical="center"/>
    </xf>
    <xf numFmtId="0" fontId="10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6" fillId="0" borderId="0" xfId="0" applyFont="1"/>
    <xf numFmtId="0" fontId="2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98" fillId="0" borderId="1" xfId="0" applyNumberFormat="1" applyFont="1" applyBorder="1" applyAlignment="1">
      <alignment horizontal="center" vertical="center"/>
    </xf>
    <xf numFmtId="3" fontId="107" fillId="0" borderId="27" xfId="0" applyNumberFormat="1" applyFont="1" applyFill="1" applyBorder="1"/>
    <xf numFmtId="0" fontId="108" fillId="0" borderId="1" xfId="0" applyFont="1" applyFill="1" applyBorder="1" applyAlignment="1" applyProtection="1">
      <alignment horizontal="left"/>
    </xf>
    <xf numFmtId="3" fontId="1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4" fontId="98" fillId="0" borderId="1" xfId="0" applyNumberFormat="1" applyFont="1" applyBorder="1" applyAlignment="1">
      <alignment horizontal="center" vertical="center"/>
    </xf>
    <xf numFmtId="175" fontId="2" fillId="0" borderId="0" xfId="0" applyNumberFormat="1" applyFont="1" applyAlignment="1">
      <alignment horizontal="center" vertical="center"/>
    </xf>
    <xf numFmtId="164" fontId="2" fillId="0" borderId="0" xfId="145" applyFont="1"/>
    <xf numFmtId="175" fontId="75" fillId="0" borderId="0" xfId="0" applyNumberFormat="1" applyFont="1" applyFill="1" applyAlignment="1">
      <alignment horizontal="center" vertical="center"/>
    </xf>
    <xf numFmtId="175" fontId="94" fillId="0" borderId="0" xfId="0" applyNumberFormat="1" applyFont="1" applyFill="1"/>
    <xf numFmtId="175" fontId="18" fillId="0" borderId="0" xfId="145" applyNumberFormat="1" applyFont="1" applyFill="1"/>
    <xf numFmtId="0" fontId="16" fillId="0" borderId="1" xfId="0" applyFont="1" applyBorder="1"/>
    <xf numFmtId="0" fontId="2" fillId="0" borderId="27" xfId="0" applyFont="1" applyBorder="1"/>
    <xf numFmtId="0" fontId="48" fillId="0" borderId="0" xfId="0" applyFont="1"/>
    <xf numFmtId="175" fontId="75" fillId="32" borderId="0" xfId="0" applyNumberFormat="1" applyFont="1" applyFill="1" applyAlignment="1">
      <alignment horizontal="center" vertical="center"/>
    </xf>
    <xf numFmtId="175" fontId="18" fillId="32" borderId="0" xfId="145" applyNumberFormat="1" applyFont="1" applyFill="1"/>
    <xf numFmtId="175" fontId="94" fillId="0" borderId="0" xfId="0" applyNumberFormat="1" applyFont="1"/>
    <xf numFmtId="175" fontId="75" fillId="0" borderId="1" xfId="0" applyNumberFormat="1" applyFont="1" applyFill="1" applyBorder="1"/>
    <xf numFmtId="175" fontId="119" fillId="0" borderId="1" xfId="145" applyNumberFormat="1" applyFont="1" applyFill="1" applyBorder="1" applyAlignment="1">
      <alignment vertical="center"/>
    </xf>
    <xf numFmtId="175" fontId="83" fillId="32" borderId="1" xfId="145" applyNumberFormat="1" applyFont="1" applyFill="1" applyBorder="1" applyAlignment="1">
      <alignment vertical="center"/>
    </xf>
    <xf numFmtId="175" fontId="75" fillId="32" borderId="1" xfId="0" applyNumberFormat="1" applyFont="1" applyFill="1" applyBorder="1"/>
    <xf numFmtId="0" fontId="116" fillId="0" borderId="1" xfId="0" applyFont="1" applyFill="1" applyBorder="1"/>
    <xf numFmtId="175" fontId="83" fillId="32" borderId="19" xfId="145" applyNumberFormat="1" applyFont="1" applyFill="1" applyBorder="1" applyAlignment="1">
      <alignment vertical="center"/>
    </xf>
    <xf numFmtId="175" fontId="75" fillId="32" borderId="19" xfId="0" applyNumberFormat="1" applyFont="1" applyFill="1" applyBorder="1" applyAlignment="1">
      <alignment vertical="center"/>
    </xf>
    <xf numFmtId="175" fontId="16" fillId="32" borderId="1" xfId="0" applyNumberFormat="1" applyFont="1" applyFill="1" applyBorder="1"/>
    <xf numFmtId="175" fontId="16" fillId="32" borderId="19" xfId="0" applyNumberFormat="1" applyFont="1" applyFill="1" applyBorder="1" applyAlignment="1">
      <alignment vertical="center"/>
    </xf>
    <xf numFmtId="175" fontId="2" fillId="32" borderId="1" xfId="0" applyNumberFormat="1" applyFont="1" applyFill="1" applyBorder="1"/>
    <xf numFmtId="0" fontId="115" fillId="41" borderId="1" xfId="0" applyFont="1" applyFill="1" applyBorder="1" applyAlignment="1">
      <alignment horizontal="center" vertical="center"/>
    </xf>
    <xf numFmtId="0" fontId="75" fillId="41" borderId="1" xfId="0" applyFont="1" applyFill="1" applyBorder="1" applyAlignment="1">
      <alignment horizontal="center" vertical="center"/>
    </xf>
    <xf numFmtId="1" fontId="75" fillId="41" borderId="1" xfId="0" applyNumberFormat="1" applyFont="1" applyFill="1" applyBorder="1" applyAlignment="1">
      <alignment horizontal="center" vertical="center"/>
    </xf>
    <xf numFmtId="1" fontId="115" fillId="41" borderId="1" xfId="0" applyNumberFormat="1" applyFont="1" applyFill="1" applyBorder="1" applyAlignment="1">
      <alignment horizontal="center" vertical="center"/>
    </xf>
    <xf numFmtId="0" fontId="2" fillId="41" borderId="0" xfId="0" applyFont="1" applyFill="1" applyAlignment="1">
      <alignment horizontal="center" vertical="center"/>
    </xf>
    <xf numFmtId="0" fontId="75" fillId="41" borderId="1" xfId="0" applyFont="1" applyFill="1" applyBorder="1"/>
    <xf numFmtId="0" fontId="75" fillId="41" borderId="27" xfId="0" applyFont="1" applyFill="1" applyBorder="1"/>
    <xf numFmtId="0" fontId="16" fillId="41" borderId="1" xfId="0" applyFont="1" applyFill="1" applyBorder="1"/>
    <xf numFmtId="0" fontId="75" fillId="41" borderId="9" xfId="0" applyFont="1" applyFill="1" applyBorder="1"/>
    <xf numFmtId="0" fontId="75" fillId="41" borderId="19" xfId="0" applyFont="1" applyFill="1" applyBorder="1"/>
    <xf numFmtId="0" fontId="16" fillId="41" borderId="0" xfId="0" applyFont="1" applyFill="1"/>
    <xf numFmtId="0" fontId="116" fillId="41" borderId="0" xfId="0" applyFont="1" applyFill="1"/>
    <xf numFmtId="0" fontId="2" fillId="41" borderId="0" xfId="0" applyFont="1" applyFill="1"/>
    <xf numFmtId="0" fontId="115" fillId="41" borderId="27" xfId="0" applyFont="1" applyFill="1" applyBorder="1"/>
    <xf numFmtId="0" fontId="71" fillId="0" borderId="52" xfId="0" applyFont="1" applyBorder="1"/>
    <xf numFmtId="0" fontId="2" fillId="0" borderId="1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1" fontId="16" fillId="0" borderId="1" xfId="0" applyNumberFormat="1" applyFont="1" applyFill="1" applyBorder="1"/>
    <xf numFmtId="1" fontId="6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center" vertical="center"/>
    </xf>
    <xf numFmtId="1" fontId="2" fillId="0" borderId="34" xfId="0" applyNumberFormat="1" applyFont="1" applyFill="1" applyBorder="1"/>
    <xf numFmtId="0" fontId="2" fillId="0" borderId="27" xfId="0" applyFont="1" applyBorder="1" applyAlignment="1">
      <alignment vertical="center" wrapText="1"/>
    </xf>
    <xf numFmtId="0" fontId="28" fillId="4" borderId="5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 wrapText="1"/>
    </xf>
    <xf numFmtId="9" fontId="29" fillId="4" borderId="4" xfId="0" applyNumberFormat="1" applyFont="1" applyFill="1" applyBorder="1" applyAlignment="1">
      <alignment horizontal="center" vertical="center"/>
    </xf>
    <xf numFmtId="3" fontId="29" fillId="4" borderId="5" xfId="0" applyNumberFormat="1" applyFont="1" applyFill="1" applyBorder="1" applyAlignment="1">
      <alignment horizontal="center" vertical="center"/>
    </xf>
    <xf numFmtId="9" fontId="29" fillId="4" borderId="1" xfId="0" applyNumberFormat="1" applyFont="1" applyFill="1" applyBorder="1" applyAlignment="1">
      <alignment horizontal="center" vertical="center"/>
    </xf>
    <xf numFmtId="3" fontId="29" fillId="4" borderId="8" xfId="0" applyNumberFormat="1" applyFont="1" applyFill="1" applyBorder="1" applyAlignment="1">
      <alignment horizontal="center" vertical="center"/>
    </xf>
    <xf numFmtId="9" fontId="29" fillId="4" borderId="27" xfId="0" applyNumberFormat="1" applyFont="1" applyFill="1" applyBorder="1" applyAlignment="1">
      <alignment horizontal="center" vertical="center"/>
    </xf>
    <xf numFmtId="10" fontId="29" fillId="4" borderId="8" xfId="0" applyNumberFormat="1" applyFont="1" applyFill="1" applyBorder="1" applyAlignment="1">
      <alignment horizontal="center" vertical="center"/>
    </xf>
    <xf numFmtId="9" fontId="29" fillId="4" borderId="9" xfId="0" applyNumberFormat="1" applyFont="1" applyFill="1" applyBorder="1" applyAlignment="1">
      <alignment horizontal="center" vertical="center"/>
    </xf>
    <xf numFmtId="10" fontId="29" fillId="4" borderId="10" xfId="0" applyNumberFormat="1" applyFont="1" applyFill="1" applyBorder="1" applyAlignment="1">
      <alignment horizontal="center" vertical="center"/>
    </xf>
    <xf numFmtId="0" fontId="120" fillId="0" borderId="21" xfId="0" applyFont="1" applyFill="1" applyBorder="1" applyAlignment="1">
      <alignment horizontal="center" vertical="center"/>
    </xf>
    <xf numFmtId="0" fontId="120" fillId="0" borderId="4" xfId="0" applyFont="1" applyFill="1" applyBorder="1" applyAlignment="1">
      <alignment horizontal="center" vertical="center"/>
    </xf>
    <xf numFmtId="3" fontId="120" fillId="0" borderId="22" xfId="0" applyNumberFormat="1" applyFont="1" applyFill="1" applyBorder="1" applyAlignment="1">
      <alignment horizontal="center" vertical="center"/>
    </xf>
    <xf numFmtId="3" fontId="120" fillId="0" borderId="9" xfId="0" applyNumberFormat="1" applyFont="1" applyFill="1" applyBorder="1" applyAlignment="1">
      <alignment horizontal="center" vertical="center"/>
    </xf>
    <xf numFmtId="173" fontId="0" fillId="0" borderId="1" xfId="0" applyNumberFormat="1" applyBorder="1"/>
    <xf numFmtId="0" fontId="0" fillId="0" borderId="50" xfId="0" applyBorder="1"/>
    <xf numFmtId="0" fontId="2" fillId="0" borderId="19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6" fontId="103" fillId="0" borderId="1" xfId="0" applyNumberFormat="1" applyFont="1" applyBorder="1" applyAlignment="1">
      <alignment horizontal="center" vertical="center"/>
    </xf>
    <xf numFmtId="0" fontId="10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7" fillId="40" borderId="14" xfId="0" applyFont="1" applyFill="1" applyBorder="1" applyAlignment="1">
      <alignment horizontal="center" vertical="center"/>
    </xf>
    <xf numFmtId="0" fontId="103" fillId="0" borderId="1" xfId="0" applyFont="1" applyBorder="1" applyAlignment="1">
      <alignment horizontal="center" vertical="center" wrapText="1"/>
    </xf>
    <xf numFmtId="0" fontId="103" fillId="0" borderId="1" xfId="0" applyFont="1" applyBorder="1" applyAlignment="1">
      <alignment horizontal="left" vertical="center"/>
    </xf>
    <xf numFmtId="0" fontId="2" fillId="33" borderId="52" xfId="0" applyFont="1" applyFill="1" applyBorder="1" applyAlignment="1">
      <alignment horizontal="center"/>
    </xf>
    <xf numFmtId="0" fontId="2" fillId="33" borderId="34" xfId="0" applyFont="1" applyFill="1" applyBorder="1" applyAlignment="1">
      <alignment horizontal="center"/>
    </xf>
    <xf numFmtId="3" fontId="98" fillId="0" borderId="1" xfId="0" applyNumberFormat="1" applyFont="1" applyBorder="1" applyAlignment="1">
      <alignment horizontal="center" vertical="center"/>
    </xf>
    <xf numFmtId="0" fontId="98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90" xfId="0" applyFont="1" applyBorder="1" applyAlignment="1">
      <alignment horizontal="center" wrapText="1"/>
    </xf>
    <xf numFmtId="175" fontId="83" fillId="32" borderId="19" xfId="145" applyNumberFormat="1" applyFont="1" applyFill="1" applyBorder="1" applyAlignment="1">
      <alignment horizontal="center" vertical="center"/>
    </xf>
    <xf numFmtId="175" fontId="83" fillId="32" borderId="27" xfId="145" applyNumberFormat="1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175" fontId="75" fillId="32" borderId="19" xfId="0" applyNumberFormat="1" applyFont="1" applyFill="1" applyBorder="1" applyAlignment="1">
      <alignment horizontal="center" vertical="center"/>
    </xf>
    <xf numFmtId="175" fontId="75" fillId="32" borderId="27" xfId="0" applyNumberFormat="1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wrapText="1"/>
    </xf>
    <xf numFmtId="175" fontId="94" fillId="0" borderId="56" xfId="0" applyNumberFormat="1" applyFont="1" applyBorder="1" applyAlignment="1">
      <alignment horizontal="center" vertical="center"/>
    </xf>
    <xf numFmtId="0" fontId="94" fillId="0" borderId="56" xfId="0" applyFont="1" applyBorder="1" applyAlignment="1">
      <alignment horizontal="center" vertical="center"/>
    </xf>
    <xf numFmtId="0" fontId="88" fillId="37" borderId="25" xfId="0" applyFont="1" applyFill="1" applyBorder="1" applyAlignment="1" applyProtection="1">
      <alignment horizontal="left" vertical="center" wrapText="1"/>
      <protection hidden="1"/>
    </xf>
    <xf numFmtId="0" fontId="88" fillId="37" borderId="28" xfId="0" applyFont="1" applyFill="1" applyBorder="1" applyAlignment="1" applyProtection="1">
      <alignment horizontal="left" vertical="center" wrapText="1"/>
      <protection hidden="1"/>
    </xf>
    <xf numFmtId="175" fontId="2" fillId="0" borderId="0" xfId="0" applyNumberFormat="1" applyFont="1" applyFill="1" applyAlignment="1">
      <alignment horizontal="center" vertical="center"/>
    </xf>
    <xf numFmtId="175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55" xfId="0" applyFont="1" applyFill="1" applyBorder="1" applyAlignment="1">
      <alignment horizontal="center" vertical="center"/>
    </xf>
    <xf numFmtId="175" fontId="16" fillId="32" borderId="19" xfId="0" applyNumberFormat="1" applyFont="1" applyFill="1" applyBorder="1" applyAlignment="1">
      <alignment horizontal="center" vertical="center"/>
    </xf>
    <xf numFmtId="175" fontId="16" fillId="32" borderId="62" xfId="0" applyNumberFormat="1" applyFont="1" applyFill="1" applyBorder="1" applyAlignment="1">
      <alignment horizontal="center" vertical="center"/>
    </xf>
    <xf numFmtId="0" fontId="16" fillId="32" borderId="27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176" fontId="2" fillId="0" borderId="0" xfId="145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6" fillId="0" borderId="1" xfId="145" applyNumberFormat="1" applyFont="1" applyFill="1" applyBorder="1" applyAlignment="1">
      <alignment horizontal="center" vertical="center"/>
    </xf>
    <xf numFmtId="176" fontId="6" fillId="0" borderId="8" xfId="145" applyNumberFormat="1" applyFont="1" applyFill="1" applyBorder="1" applyAlignment="1">
      <alignment horizontal="center" vertical="center"/>
    </xf>
    <xf numFmtId="176" fontId="6" fillId="0" borderId="34" xfId="145" applyNumberFormat="1" applyFont="1" applyFill="1" applyBorder="1" applyAlignment="1">
      <alignment horizontal="center" vertical="center"/>
    </xf>
    <xf numFmtId="176" fontId="6" fillId="0" borderId="59" xfId="145" applyNumberFormat="1" applyFont="1" applyFill="1" applyBorder="1" applyAlignment="1">
      <alignment horizontal="center" vertical="center"/>
    </xf>
    <xf numFmtId="176" fontId="6" fillId="0" borderId="19" xfId="145" applyNumberFormat="1" applyFont="1" applyFill="1" applyBorder="1" applyAlignment="1">
      <alignment horizontal="center" vertical="center"/>
    </xf>
    <xf numFmtId="176" fontId="6" fillId="0" borderId="20" xfId="145" applyNumberFormat="1" applyFont="1" applyFill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/>
    </xf>
    <xf numFmtId="176" fontId="2" fillId="0" borderId="27" xfId="145" applyNumberFormat="1" applyFont="1" applyFill="1" applyBorder="1" applyAlignment="1">
      <alignment horizontal="center" vertical="center"/>
    </xf>
    <xf numFmtId="176" fontId="2" fillId="0" borderId="1" xfId="145" applyNumberFormat="1" applyFont="1" applyFill="1" applyBorder="1" applyAlignment="1">
      <alignment horizontal="center" vertical="center"/>
    </xf>
    <xf numFmtId="176" fontId="2" fillId="0" borderId="24" xfId="145" applyNumberFormat="1" applyFont="1" applyFill="1" applyBorder="1" applyAlignment="1">
      <alignment horizontal="center" vertical="center"/>
    </xf>
    <xf numFmtId="176" fontId="2" fillId="0" borderId="8" xfId="145" applyNumberFormat="1" applyFont="1" applyFill="1" applyBorder="1" applyAlignment="1">
      <alignment horizontal="center" vertical="center"/>
    </xf>
    <xf numFmtId="0" fontId="71" fillId="0" borderId="1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6" xfId="0" applyFont="1" applyBorder="1" applyAlignment="1">
      <alignment horizontal="center" vertical="center"/>
    </xf>
    <xf numFmtId="0" fontId="17" fillId="40" borderId="37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47" fillId="0" borderId="0" xfId="0" applyFont="1" applyFill="1" applyBorder="1" applyAlignment="1">
      <alignment horizontal="center" vertical="center" wrapText="1"/>
    </xf>
    <xf numFmtId="3" fontId="67" fillId="0" borderId="37" xfId="0" applyNumberFormat="1" applyFont="1" applyFill="1" applyBorder="1" applyAlignment="1">
      <alignment horizontal="center" vertical="top" wrapText="1"/>
    </xf>
    <xf numFmtId="3" fontId="67" fillId="0" borderId="0" xfId="0" applyNumberFormat="1" applyFont="1" applyFill="1" applyBorder="1" applyAlignment="1">
      <alignment horizontal="center" vertical="top" wrapText="1"/>
    </xf>
    <xf numFmtId="0" fontId="47" fillId="40" borderId="0" xfId="0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/>
    </xf>
    <xf numFmtId="0" fontId="0" fillId="4" borderId="77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77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" fillId="0" borderId="25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" fontId="20" fillId="0" borderId="37" xfId="0" applyNumberFormat="1" applyFont="1" applyFill="1" applyBorder="1" applyAlignment="1">
      <alignment horizontal="center" vertical="center" wrapText="1"/>
    </xf>
    <xf numFmtId="0" fontId="103" fillId="0" borderId="25" xfId="0" applyFont="1" applyFill="1" applyBorder="1" applyAlignment="1">
      <alignment horizontal="center" vertical="center"/>
    </xf>
    <xf numFmtId="0" fontId="103" fillId="0" borderId="28" xfId="0" applyFont="1" applyFill="1" applyBorder="1" applyAlignment="1">
      <alignment horizontal="center" vertical="center"/>
    </xf>
    <xf numFmtId="0" fontId="103" fillId="0" borderId="55" xfId="0" applyFont="1" applyFill="1" applyBorder="1" applyAlignment="1">
      <alignment horizontal="center" vertical="center"/>
    </xf>
    <xf numFmtId="1" fontId="103" fillId="0" borderId="25" xfId="0" applyNumberFormat="1" applyFont="1" applyFill="1" applyBorder="1" applyAlignment="1">
      <alignment horizontal="center" vertical="center"/>
    </xf>
    <xf numFmtId="1" fontId="103" fillId="0" borderId="28" xfId="0" applyNumberFormat="1" applyFont="1" applyFill="1" applyBorder="1" applyAlignment="1">
      <alignment horizontal="center" vertical="center"/>
    </xf>
    <xf numFmtId="1" fontId="103" fillId="0" borderId="55" xfId="0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28" fillId="0" borderId="5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8" fillId="0" borderId="25" xfId="0" applyNumberFormat="1" applyFont="1" applyFill="1" applyBorder="1" applyAlignment="1">
      <alignment horizontal="center" vertical="center" wrapText="1"/>
    </xf>
    <xf numFmtId="1" fontId="28" fillId="0" borderId="28" xfId="0" applyNumberFormat="1" applyFont="1" applyFill="1" applyBorder="1" applyAlignment="1">
      <alignment horizontal="center" vertical="center" wrapText="1"/>
    </xf>
    <xf numFmtId="1" fontId="28" fillId="0" borderId="55" xfId="0" applyNumberFormat="1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/>
    </xf>
    <xf numFmtId="0" fontId="47" fillId="0" borderId="28" xfId="0" applyFont="1" applyFill="1" applyBorder="1" applyAlignment="1">
      <alignment horizontal="center" vertical="center"/>
    </xf>
    <xf numFmtId="0" fontId="47" fillId="0" borderId="55" xfId="0" applyFont="1" applyFill="1" applyBorder="1" applyAlignment="1">
      <alignment horizontal="center" vertical="center"/>
    </xf>
    <xf numFmtId="0" fontId="103" fillId="0" borderId="1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7" fillId="40" borderId="0" xfId="0" applyFont="1" applyFill="1" applyBorder="1" applyAlignment="1">
      <alignment horizontal="center" vertical="center"/>
    </xf>
    <xf numFmtId="176" fontId="2" fillId="0" borderId="48" xfId="145" applyNumberFormat="1" applyFont="1" applyFill="1" applyBorder="1" applyAlignment="1">
      <alignment horizontal="center" vertical="center"/>
    </xf>
    <xf numFmtId="176" fontId="2" fillId="0" borderId="34" xfId="145" applyNumberFormat="1" applyFont="1" applyFill="1" applyBorder="1" applyAlignment="1">
      <alignment horizontal="center" vertical="center"/>
    </xf>
    <xf numFmtId="0" fontId="103" fillId="0" borderId="52" xfId="0" applyFont="1" applyBorder="1" applyAlignment="1">
      <alignment horizontal="left" vertical="center" wrapText="1"/>
    </xf>
    <xf numFmtId="0" fontId="103" fillId="0" borderId="34" xfId="0" applyFont="1" applyBorder="1" applyAlignment="1">
      <alignment horizontal="left" vertical="center" wrapText="1"/>
    </xf>
    <xf numFmtId="0" fontId="28" fillId="4" borderId="36" xfId="0" applyFont="1" applyFill="1" applyBorder="1" applyAlignment="1">
      <alignment horizontal="center" vertical="center"/>
    </xf>
    <xf numFmtId="0" fontId="29" fillId="4" borderId="40" xfId="0" applyFont="1" applyFill="1" applyBorder="1" applyAlignment="1">
      <alignment horizontal="center" vertical="center"/>
    </xf>
    <xf numFmtId="0" fontId="29" fillId="4" borderId="38" xfId="0" applyFont="1" applyFill="1" applyBorder="1" applyAlignment="1">
      <alignment horizontal="center" vertical="center"/>
    </xf>
    <xf numFmtId="0" fontId="29" fillId="4" borderId="41" xfId="0" applyFont="1" applyFill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 textRotation="90" wrapText="1"/>
    </xf>
    <xf numFmtId="0" fontId="29" fillId="4" borderId="31" xfId="0" applyFont="1" applyFill="1" applyBorder="1" applyAlignment="1">
      <alignment horizontal="center" vertical="center" textRotation="90" wrapText="1"/>
    </xf>
    <xf numFmtId="0" fontId="29" fillId="4" borderId="26" xfId="0" applyFont="1" applyFill="1" applyBorder="1" applyAlignment="1">
      <alignment horizontal="center" vertical="center" textRotation="90" wrapText="1"/>
    </xf>
    <xf numFmtId="0" fontId="29" fillId="4" borderId="18" xfId="0" applyFont="1" applyFill="1" applyBorder="1" applyAlignment="1">
      <alignment horizontal="center" vertical="center" textRotation="90"/>
    </xf>
    <xf numFmtId="0" fontId="29" fillId="4" borderId="31" xfId="0" applyFont="1" applyFill="1" applyBorder="1" applyAlignment="1">
      <alignment horizontal="center" vertical="center" textRotation="90"/>
    </xf>
    <xf numFmtId="0" fontId="29" fillId="4" borderId="39" xfId="0" applyFont="1" applyFill="1" applyBorder="1" applyAlignment="1">
      <alignment horizontal="center" vertical="center" textRotation="90"/>
    </xf>
    <xf numFmtId="0" fontId="80" fillId="2" borderId="38" xfId="0" applyFont="1" applyFill="1" applyBorder="1" applyAlignment="1">
      <alignment horizontal="center" vertical="center"/>
    </xf>
    <xf numFmtId="0" fontId="80" fillId="2" borderId="14" xfId="0" applyFont="1" applyFill="1" applyBorder="1" applyAlignment="1">
      <alignment horizontal="center" vertical="center"/>
    </xf>
    <xf numFmtId="0" fontId="80" fillId="2" borderId="61" xfId="0" applyFont="1" applyFill="1" applyBorder="1" applyAlignment="1">
      <alignment horizontal="center" vertical="center"/>
    </xf>
    <xf numFmtId="0" fontId="81" fillId="0" borderId="6" xfId="0" applyFont="1" applyFill="1" applyBorder="1" applyAlignment="1">
      <alignment horizontal="center" vertical="center"/>
    </xf>
    <xf numFmtId="0" fontId="81" fillId="0" borderId="9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/>
    </xf>
    <xf numFmtId="0" fontId="80" fillId="0" borderId="4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left" vertical="center"/>
    </xf>
    <xf numFmtId="0" fontId="26" fillId="0" borderId="22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26" fillId="0" borderId="48" xfId="0" applyFont="1" applyFill="1" applyBorder="1" applyAlignment="1">
      <alignment horizontal="left" vertical="center"/>
    </xf>
    <xf numFmtId="0" fontId="20" fillId="0" borderId="15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78" fillId="0" borderId="25" xfId="0" applyFont="1" applyFill="1" applyBorder="1" applyAlignment="1" applyProtection="1">
      <alignment horizontal="left"/>
    </xf>
    <xf numFmtId="0" fontId="78" fillId="0" borderId="55" xfId="0" applyFont="1" applyFill="1" applyBorder="1" applyAlignment="1" applyProtection="1">
      <alignment horizontal="left"/>
    </xf>
    <xf numFmtId="0" fontId="26" fillId="0" borderId="40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/>
    </xf>
    <xf numFmtId="0" fontId="26" fillId="0" borderId="17" xfId="0" applyFont="1" applyFill="1" applyBorder="1" applyAlignment="1">
      <alignment horizontal="center"/>
    </xf>
    <xf numFmtId="0" fontId="26" fillId="0" borderId="23" xfId="0" applyFont="1" applyFill="1" applyBorder="1" applyAlignment="1">
      <alignment horizontal="center"/>
    </xf>
    <xf numFmtId="0" fontId="26" fillId="0" borderId="58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/>
    </xf>
    <xf numFmtId="0" fontId="14" fillId="4" borderId="28" xfId="0" applyFont="1" applyFill="1" applyBorder="1" applyAlignment="1">
      <alignment horizontal="center"/>
    </xf>
    <xf numFmtId="0" fontId="14" fillId="4" borderId="55" xfId="0" applyFont="1" applyFill="1" applyBorder="1" applyAlignment="1">
      <alignment horizontal="center"/>
    </xf>
    <xf numFmtId="0" fontId="79" fillId="0" borderId="15" xfId="0" applyFont="1" applyFill="1" applyBorder="1" applyAlignment="1" applyProtection="1">
      <alignment vertical="center" wrapText="1"/>
    </xf>
    <xf numFmtId="0" fontId="79" fillId="0" borderId="31" xfId="0" applyFont="1" applyFill="1" applyBorder="1" applyAlignment="1" applyProtection="1">
      <alignment vertical="center"/>
    </xf>
    <xf numFmtId="0" fontId="79" fillId="0" borderId="26" xfId="0" applyFont="1" applyFill="1" applyBorder="1" applyAlignment="1" applyProtection="1">
      <alignment vertical="center"/>
    </xf>
    <xf numFmtId="0" fontId="6" fillId="0" borderId="45" xfId="0" applyFont="1" applyFill="1" applyBorder="1" applyAlignment="1">
      <alignment horizontal="left" vertical="center"/>
    </xf>
    <xf numFmtId="0" fontId="26" fillId="0" borderId="34" xfId="0" applyFont="1" applyFill="1" applyBorder="1" applyAlignment="1">
      <alignment horizontal="left" vertical="center"/>
    </xf>
    <xf numFmtId="0" fontId="6" fillId="2" borderId="46" xfId="0" applyFont="1" applyFill="1" applyBorder="1" applyAlignment="1">
      <alignment horizontal="left" vertical="center"/>
    </xf>
    <xf numFmtId="0" fontId="26" fillId="2" borderId="2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left" vertical="center"/>
    </xf>
    <xf numFmtId="0" fontId="26" fillId="0" borderId="21" xfId="0" applyFont="1" applyFill="1" applyBorder="1" applyAlignment="1">
      <alignment horizontal="left" vertical="center"/>
    </xf>
    <xf numFmtId="0" fontId="25" fillId="0" borderId="37" xfId="0" applyFont="1" applyFill="1" applyBorder="1" applyAlignment="1">
      <alignment horizontal="center" vertical="center"/>
    </xf>
    <xf numFmtId="0" fontId="25" fillId="0" borderId="44" xfId="0" applyFont="1" applyFill="1" applyBorder="1" applyAlignment="1">
      <alignment horizontal="center" vertical="center"/>
    </xf>
    <xf numFmtId="0" fontId="20" fillId="0" borderId="46" xfId="0" applyFont="1" applyFill="1" applyBorder="1" applyAlignment="1">
      <alignment horizontal="left" vertical="center"/>
    </xf>
    <xf numFmtId="0" fontId="25" fillId="0" borderId="22" xfId="0" applyFont="1" applyFill="1" applyBorder="1" applyAlignment="1">
      <alignment horizontal="left" vertical="center"/>
    </xf>
    <xf numFmtId="0" fontId="6" fillId="0" borderId="34" xfId="0" applyFont="1" applyFill="1" applyBorder="1" applyAlignment="1">
      <alignment horizontal="left" vertical="center"/>
    </xf>
    <xf numFmtId="0" fontId="78" fillId="0" borderId="29" xfId="0" applyFont="1" applyFill="1" applyBorder="1" applyAlignment="1" applyProtection="1">
      <alignment horizontal="left"/>
    </xf>
    <xf numFmtId="0" fontId="78" fillId="0" borderId="43" xfId="0" applyFont="1" applyFill="1" applyBorder="1" applyAlignment="1" applyProtection="1">
      <alignment horizontal="left"/>
    </xf>
    <xf numFmtId="0" fontId="26" fillId="33" borderId="23" xfId="0" applyFont="1" applyFill="1" applyBorder="1" applyAlignment="1">
      <alignment horizontal="center"/>
    </xf>
    <xf numFmtId="0" fontId="26" fillId="33" borderId="58" xfId="0" applyFont="1" applyFill="1" applyBorder="1" applyAlignment="1">
      <alignment horizontal="center"/>
    </xf>
    <xf numFmtId="0" fontId="26" fillId="33" borderId="40" xfId="0" applyFont="1" applyFill="1" applyBorder="1" applyAlignment="1">
      <alignment horizontal="center"/>
    </xf>
    <xf numFmtId="0" fontId="26" fillId="33" borderId="16" xfId="0" applyFont="1" applyFill="1" applyBorder="1" applyAlignment="1">
      <alignment horizontal="center"/>
    </xf>
    <xf numFmtId="0" fontId="26" fillId="33" borderId="17" xfId="0" applyFont="1" applyFill="1" applyBorder="1" applyAlignment="1">
      <alignment horizontal="center"/>
    </xf>
    <xf numFmtId="49" fontId="20" fillId="0" borderId="25" xfId="0" applyNumberFormat="1" applyFont="1" applyFill="1" applyBorder="1" applyAlignment="1">
      <alignment horizontal="center"/>
    </xf>
    <xf numFmtId="49" fontId="20" fillId="0" borderId="51" xfId="0" applyNumberFormat="1" applyFont="1" applyFill="1" applyBorder="1" applyAlignment="1">
      <alignment horizontal="center"/>
    </xf>
    <xf numFmtId="0" fontId="20" fillId="2" borderId="25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55" xfId="0" applyFont="1" applyFill="1" applyBorder="1" applyAlignment="1">
      <alignment horizontal="center" vertical="center"/>
    </xf>
    <xf numFmtId="0" fontId="28" fillId="0" borderId="36" xfId="0" applyFont="1" applyFill="1" applyBorder="1" applyAlignment="1">
      <alignment horizontal="center" vertical="center"/>
    </xf>
    <xf numFmtId="0" fontId="29" fillId="0" borderId="40" xfId="0" applyFont="1" applyFill="1" applyBorder="1" applyAlignment="1">
      <alignment horizontal="center" vertical="center"/>
    </xf>
    <xf numFmtId="0" fontId="29" fillId="0" borderId="38" xfId="0" applyFont="1" applyFill="1" applyBorder="1" applyAlignment="1">
      <alignment horizontal="center" vertical="center"/>
    </xf>
    <xf numFmtId="0" fontId="29" fillId="0" borderId="41" xfId="0" applyFont="1" applyFill="1" applyBorder="1" applyAlignment="1">
      <alignment horizontal="center" vertical="center"/>
    </xf>
    <xf numFmtId="0" fontId="28" fillId="0" borderId="42" xfId="0" applyFont="1" applyFill="1" applyBorder="1" applyAlignment="1">
      <alignment horizontal="center" vertical="center"/>
    </xf>
    <xf numFmtId="0" fontId="28" fillId="0" borderId="33" xfId="0" applyFont="1" applyFill="1" applyBorder="1" applyAlignment="1">
      <alignment horizontal="center" vertical="center"/>
    </xf>
    <xf numFmtId="0" fontId="28" fillId="0" borderId="37" xfId="0" applyFont="1" applyFill="1" applyBorder="1" applyAlignment="1">
      <alignment horizontal="center" vertical="center"/>
    </xf>
    <xf numFmtId="0" fontId="28" fillId="0" borderId="40" xfId="0" applyFont="1" applyFill="1" applyBorder="1" applyAlignment="1">
      <alignment horizontal="center" vertical="center"/>
    </xf>
    <xf numFmtId="0" fontId="28" fillId="0" borderId="38" xfId="0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55" xfId="0" applyFont="1" applyFill="1" applyBorder="1" applyAlignment="1">
      <alignment horizontal="center"/>
    </xf>
    <xf numFmtId="0" fontId="77" fillId="0" borderId="25" xfId="0" applyFont="1" applyFill="1" applyBorder="1" applyAlignment="1" applyProtection="1">
      <alignment horizontal="center"/>
    </xf>
    <xf numFmtId="0" fontId="77" fillId="0" borderId="28" xfId="0" applyFont="1" applyFill="1" applyBorder="1" applyAlignment="1" applyProtection="1">
      <alignment horizontal="center"/>
    </xf>
    <xf numFmtId="0" fontId="77" fillId="0" borderId="55" xfId="0" applyFont="1" applyFill="1" applyBorder="1" applyAlignment="1" applyProtection="1">
      <alignment horizontal="center"/>
    </xf>
    <xf numFmtId="0" fontId="29" fillId="0" borderId="15" xfId="0" applyFont="1" applyFill="1" applyBorder="1" applyAlignment="1">
      <alignment horizontal="center" vertical="center" textRotation="90" wrapText="1"/>
    </xf>
    <xf numFmtId="0" fontId="29" fillId="0" borderId="31" xfId="0" applyFont="1" applyFill="1" applyBorder="1" applyAlignment="1">
      <alignment horizontal="center" vertical="center" textRotation="90" wrapText="1"/>
    </xf>
    <xf numFmtId="0" fontId="29" fillId="0" borderId="26" xfId="0" applyFont="1" applyFill="1" applyBorder="1" applyAlignment="1">
      <alignment horizontal="center" vertical="center" textRotation="90" wrapText="1"/>
    </xf>
    <xf numFmtId="0" fontId="29" fillId="0" borderId="18" xfId="0" applyFont="1" applyFill="1" applyBorder="1" applyAlignment="1">
      <alignment horizontal="center" vertical="center" textRotation="90"/>
    </xf>
    <xf numFmtId="0" fontId="29" fillId="0" borderId="31" xfId="0" applyFont="1" applyFill="1" applyBorder="1" applyAlignment="1">
      <alignment horizontal="center" vertical="center" textRotation="90"/>
    </xf>
    <xf numFmtId="0" fontId="29" fillId="0" borderId="39" xfId="0" applyFont="1" applyFill="1" applyBorder="1" applyAlignment="1">
      <alignment horizontal="center" vertical="center" textRotation="90"/>
    </xf>
  </cellXfs>
  <cellStyles count="154">
    <cellStyle name="20 % – Zvýraznění1 2" xfId="22" xr:uid="{00000000-0005-0000-0000-000000000000}"/>
    <cellStyle name="20 % – Zvýraznění1 3" xfId="23" xr:uid="{00000000-0005-0000-0000-000001000000}"/>
    <cellStyle name="20 % – Zvýraznění2 2" xfId="24" xr:uid="{00000000-0005-0000-0000-000002000000}"/>
    <cellStyle name="20 % – Zvýraznění2 3" xfId="25" xr:uid="{00000000-0005-0000-0000-000003000000}"/>
    <cellStyle name="20 % – Zvýraznění3 2" xfId="26" xr:uid="{00000000-0005-0000-0000-000004000000}"/>
    <cellStyle name="20 % – Zvýraznění3 3" xfId="27" xr:uid="{00000000-0005-0000-0000-000005000000}"/>
    <cellStyle name="20 % – Zvýraznění4 2" xfId="28" xr:uid="{00000000-0005-0000-0000-000006000000}"/>
    <cellStyle name="20 % – Zvýraznění4 3" xfId="29" xr:uid="{00000000-0005-0000-0000-000007000000}"/>
    <cellStyle name="20 % – Zvýraznění5 2" xfId="30" xr:uid="{00000000-0005-0000-0000-000008000000}"/>
    <cellStyle name="20 % – Zvýraznění5 3" xfId="31" xr:uid="{00000000-0005-0000-0000-000009000000}"/>
    <cellStyle name="20 % – Zvýraznění6 2" xfId="32" xr:uid="{00000000-0005-0000-0000-00000A000000}"/>
    <cellStyle name="20 % – Zvýraznění6 3" xfId="33" xr:uid="{00000000-0005-0000-0000-00000B000000}"/>
    <cellStyle name="40 % – Zvýraznění1 2" xfId="34" xr:uid="{00000000-0005-0000-0000-00000C000000}"/>
    <cellStyle name="40 % – Zvýraznění1 3" xfId="35" xr:uid="{00000000-0005-0000-0000-00000D000000}"/>
    <cellStyle name="40 % – Zvýraznění2 2" xfId="36" xr:uid="{00000000-0005-0000-0000-00000E000000}"/>
    <cellStyle name="40 % – Zvýraznění2 3" xfId="37" xr:uid="{00000000-0005-0000-0000-00000F000000}"/>
    <cellStyle name="40 % – Zvýraznění3 2" xfId="38" xr:uid="{00000000-0005-0000-0000-000010000000}"/>
    <cellStyle name="40 % – Zvýraznění3 3" xfId="39" xr:uid="{00000000-0005-0000-0000-000011000000}"/>
    <cellStyle name="40 % – Zvýraznění4 2" xfId="40" xr:uid="{00000000-0005-0000-0000-000012000000}"/>
    <cellStyle name="40 % – Zvýraznění4 3" xfId="41" xr:uid="{00000000-0005-0000-0000-000013000000}"/>
    <cellStyle name="40 % – Zvýraznění5 2" xfId="42" xr:uid="{00000000-0005-0000-0000-000014000000}"/>
    <cellStyle name="40 % – Zvýraznění5 3" xfId="43" xr:uid="{00000000-0005-0000-0000-000015000000}"/>
    <cellStyle name="40 % – Zvýraznění6 2" xfId="44" xr:uid="{00000000-0005-0000-0000-000016000000}"/>
    <cellStyle name="40 % – Zvýraznění6 3" xfId="45" xr:uid="{00000000-0005-0000-0000-000017000000}"/>
    <cellStyle name="60 % – Zvýraznění1 2" xfId="46" xr:uid="{00000000-0005-0000-0000-000018000000}"/>
    <cellStyle name="60 % – Zvýraznění1 2 2" xfId="110" xr:uid="{00000000-0005-0000-0000-000019000000}"/>
    <cellStyle name="60 % – Zvýraznění1 3" xfId="47" xr:uid="{00000000-0005-0000-0000-00001A000000}"/>
    <cellStyle name="60 % – Zvýraznění2 2" xfId="48" xr:uid="{00000000-0005-0000-0000-00001B000000}"/>
    <cellStyle name="60 % – Zvýraznění2 3" xfId="49" xr:uid="{00000000-0005-0000-0000-00001C000000}"/>
    <cellStyle name="60 % – Zvýraznění3 2" xfId="50" xr:uid="{00000000-0005-0000-0000-00001D000000}"/>
    <cellStyle name="60 % – Zvýraznění3 3" xfId="51" xr:uid="{00000000-0005-0000-0000-00001E000000}"/>
    <cellStyle name="60 % – Zvýraznění4 2" xfId="52" xr:uid="{00000000-0005-0000-0000-00001F000000}"/>
    <cellStyle name="60 % – Zvýraznění4 3" xfId="53" xr:uid="{00000000-0005-0000-0000-000020000000}"/>
    <cellStyle name="60 % – Zvýraznění5 2" xfId="54" xr:uid="{00000000-0005-0000-0000-000021000000}"/>
    <cellStyle name="60 % – Zvýraznění5 3" xfId="55" xr:uid="{00000000-0005-0000-0000-000022000000}"/>
    <cellStyle name="60 % – Zvýraznění6 2" xfId="56" xr:uid="{00000000-0005-0000-0000-000023000000}"/>
    <cellStyle name="60 % – Zvýraznění6 3" xfId="57" xr:uid="{00000000-0005-0000-0000-000024000000}"/>
    <cellStyle name="BorderStyle" xfId="144" xr:uid="{00000000-0005-0000-0000-000025000000}"/>
    <cellStyle name="Cele, oddel tisice" xfId="112" xr:uid="{00000000-0005-0000-0000-000026000000}"/>
    <cellStyle name="Celkem 2" xfId="58" xr:uid="{00000000-0005-0000-0000-000027000000}"/>
    <cellStyle name="Celkem 3" xfId="59" xr:uid="{00000000-0005-0000-0000-000028000000}"/>
    <cellStyle name="Celkem Ekdnu" xfId="18" xr:uid="{00000000-0005-0000-0000-000029000000}"/>
    <cellStyle name="Čárka" xfId="145" builtinId="3"/>
    <cellStyle name="Čárka 2" xfId="114" xr:uid="{00000000-0005-0000-0000-00002B000000}"/>
    <cellStyle name="Čárka 2 2" xfId="153" xr:uid="{00000000-0005-0000-0000-00002C000000}"/>
    <cellStyle name="Čárka 3" xfId="115" xr:uid="{00000000-0005-0000-0000-00002D000000}"/>
    <cellStyle name="Čárka 4" xfId="113" xr:uid="{00000000-0005-0000-0000-00002E000000}"/>
    <cellStyle name="čárky 2" xfId="116" xr:uid="{00000000-0005-0000-0000-00002F000000}"/>
    <cellStyle name="čárky 2 2" xfId="117" xr:uid="{00000000-0005-0000-0000-000030000000}"/>
    <cellStyle name="čárky 3" xfId="118" xr:uid="{00000000-0005-0000-0000-000031000000}"/>
    <cellStyle name="čárky 3 2" xfId="119" xr:uid="{00000000-0005-0000-0000-000032000000}"/>
    <cellStyle name="HeaderStyle" xfId="143" xr:uid="{00000000-0005-0000-0000-000033000000}"/>
    <cellStyle name="Chybně 2" xfId="60" xr:uid="{00000000-0005-0000-0000-000034000000}"/>
    <cellStyle name="Chybně 3" xfId="61" xr:uid="{00000000-0005-0000-0000-000035000000}"/>
    <cellStyle name="Kontrolní buňka 2" xfId="62" xr:uid="{00000000-0005-0000-0000-000036000000}"/>
    <cellStyle name="Kontrolní buňka 3" xfId="63" xr:uid="{00000000-0005-0000-0000-000037000000}"/>
    <cellStyle name="Nadpis 1 2" xfId="64" xr:uid="{00000000-0005-0000-0000-000038000000}"/>
    <cellStyle name="Nadpis 1 3" xfId="65" xr:uid="{00000000-0005-0000-0000-000039000000}"/>
    <cellStyle name="Nadpis 2 2" xfId="66" xr:uid="{00000000-0005-0000-0000-00003A000000}"/>
    <cellStyle name="Nadpis 2 3" xfId="67" xr:uid="{00000000-0005-0000-0000-00003B000000}"/>
    <cellStyle name="Nadpis 3 2" xfId="68" xr:uid="{00000000-0005-0000-0000-00003C000000}"/>
    <cellStyle name="Nadpis 3 3" xfId="69" xr:uid="{00000000-0005-0000-0000-00003D000000}"/>
    <cellStyle name="Nadpis 4 2" xfId="70" xr:uid="{00000000-0005-0000-0000-00003E000000}"/>
    <cellStyle name="Nadpis 4 3" xfId="71" xr:uid="{00000000-0005-0000-0000-00003F000000}"/>
    <cellStyle name="Název 2" xfId="72" xr:uid="{00000000-0005-0000-0000-000040000000}"/>
    <cellStyle name="Název 3" xfId="73" xr:uid="{00000000-0005-0000-0000-000041000000}"/>
    <cellStyle name="Neutrální 2" xfId="74" xr:uid="{00000000-0005-0000-0000-000042000000}"/>
    <cellStyle name="Neutrální 3" xfId="75" xr:uid="{00000000-0005-0000-0000-000043000000}"/>
    <cellStyle name="Normal 2" xfId="76" xr:uid="{00000000-0005-0000-0000-000044000000}"/>
    <cellStyle name="Normal 2 2" xfId="77" xr:uid="{00000000-0005-0000-0000-000045000000}"/>
    <cellStyle name="Normal_Aktivita 1 vodovod Kotesova 2004-05-25" xfId="120" xr:uid="{00000000-0005-0000-0000-000046000000}"/>
    <cellStyle name="Normální" xfId="0" builtinId="0"/>
    <cellStyle name="Normální 10" xfId="9" xr:uid="{00000000-0005-0000-0000-000048000000}"/>
    <cellStyle name="Normální 10 2" xfId="147" xr:uid="{00000000-0005-0000-0000-000049000000}"/>
    <cellStyle name="Normální 11" xfId="14" xr:uid="{00000000-0005-0000-0000-00004A000000}"/>
    <cellStyle name="Normální 11 2" xfId="121" xr:uid="{00000000-0005-0000-0000-00004B000000}"/>
    <cellStyle name="Normální 12" xfId="122" xr:uid="{00000000-0005-0000-0000-00004C000000}"/>
    <cellStyle name="Normální 13" xfId="111" xr:uid="{00000000-0005-0000-0000-00004D000000}"/>
    <cellStyle name="Normální 14" xfId="148" xr:uid="{00000000-0005-0000-0000-00004E000000}"/>
    <cellStyle name="Normální 18" xfId="146" xr:uid="{00000000-0005-0000-0000-00004F000000}"/>
    <cellStyle name="Normální 2" xfId="2" xr:uid="{00000000-0005-0000-0000-000050000000}"/>
    <cellStyle name="normální 2 2" xfId="6" xr:uid="{00000000-0005-0000-0000-000051000000}"/>
    <cellStyle name="normální 2 2 2" xfId="123" xr:uid="{00000000-0005-0000-0000-000052000000}"/>
    <cellStyle name="normální 2 3" xfId="5" xr:uid="{00000000-0005-0000-0000-000053000000}"/>
    <cellStyle name="normální 2 3 2" xfId="124" xr:uid="{00000000-0005-0000-0000-000054000000}"/>
    <cellStyle name="Normální 2 4" xfId="125" xr:uid="{00000000-0005-0000-0000-000055000000}"/>
    <cellStyle name="Normální 2 5" xfId="126" xr:uid="{00000000-0005-0000-0000-000056000000}"/>
    <cellStyle name="Normální 2 6" xfId="127" xr:uid="{00000000-0005-0000-0000-000057000000}"/>
    <cellStyle name="Normální 2 7" xfId="151" xr:uid="{00000000-0005-0000-0000-000058000000}"/>
    <cellStyle name="Normální 2 8" xfId="149" xr:uid="{00000000-0005-0000-0000-000059000000}"/>
    <cellStyle name="Normální 2 9" xfId="150" xr:uid="{00000000-0005-0000-0000-00005A000000}"/>
    <cellStyle name="normální 22" xfId="128" xr:uid="{00000000-0005-0000-0000-00005B000000}"/>
    <cellStyle name="Normální 3" xfId="1" xr:uid="{00000000-0005-0000-0000-00005C000000}"/>
    <cellStyle name="Normální 3 2" xfId="16" xr:uid="{00000000-0005-0000-0000-00005D000000}"/>
    <cellStyle name="Normální 3 3" xfId="78" xr:uid="{00000000-0005-0000-0000-00005E000000}"/>
    <cellStyle name="normální 3 4" xfId="129" xr:uid="{00000000-0005-0000-0000-00005F000000}"/>
    <cellStyle name="normální 3 5" xfId="138" xr:uid="{00000000-0005-0000-0000-000060000000}"/>
    <cellStyle name="normální 3_Priloha_01_prac" xfId="130" xr:uid="{00000000-0005-0000-0000-000061000000}"/>
    <cellStyle name="Normální 4" xfId="4" xr:uid="{00000000-0005-0000-0000-000062000000}"/>
    <cellStyle name="Normální 4 2" xfId="17" xr:uid="{00000000-0005-0000-0000-000063000000}"/>
    <cellStyle name="normální 4 2 2" xfId="132" xr:uid="{00000000-0005-0000-0000-000064000000}"/>
    <cellStyle name="Normální 4 3" xfId="79" xr:uid="{00000000-0005-0000-0000-000065000000}"/>
    <cellStyle name="normální 4 4" xfId="131" xr:uid="{00000000-0005-0000-0000-000066000000}"/>
    <cellStyle name="normální 4 5" xfId="139" xr:uid="{00000000-0005-0000-0000-000067000000}"/>
    <cellStyle name="Normální 5" xfId="8" xr:uid="{00000000-0005-0000-0000-000068000000}"/>
    <cellStyle name="Normální 5 2" xfId="15" xr:uid="{00000000-0005-0000-0000-000069000000}"/>
    <cellStyle name="Normální 5 3" xfId="21" xr:uid="{00000000-0005-0000-0000-00006A000000}"/>
    <cellStyle name="normální 5 4" xfId="133" xr:uid="{00000000-0005-0000-0000-00006B000000}"/>
    <cellStyle name="normální 5 5" xfId="140" xr:uid="{00000000-0005-0000-0000-00006C000000}"/>
    <cellStyle name="Normální 5 6" xfId="142" xr:uid="{00000000-0005-0000-0000-00006D000000}"/>
    <cellStyle name="Normální 5 7" xfId="141" xr:uid="{00000000-0005-0000-0000-00006E000000}"/>
    <cellStyle name="Normální 6" xfId="10" xr:uid="{00000000-0005-0000-0000-00006F000000}"/>
    <cellStyle name="Normální 7" xfId="3" xr:uid="{00000000-0005-0000-0000-000070000000}"/>
    <cellStyle name="Normální 7 2" xfId="108" xr:uid="{00000000-0005-0000-0000-000071000000}"/>
    <cellStyle name="Normální 8" xfId="11" xr:uid="{00000000-0005-0000-0000-000072000000}"/>
    <cellStyle name="Normální 8 2" xfId="109" xr:uid="{00000000-0005-0000-0000-000073000000}"/>
    <cellStyle name="Normální 9" xfId="12" xr:uid="{00000000-0005-0000-0000-000074000000}"/>
    <cellStyle name="Poznámka 2" xfId="80" xr:uid="{00000000-0005-0000-0000-000075000000}"/>
    <cellStyle name="Poznámka 2 2" xfId="152" xr:uid="{00000000-0005-0000-0000-000076000000}"/>
    <cellStyle name="Poznámka 3" xfId="81" xr:uid="{00000000-0005-0000-0000-000077000000}"/>
    <cellStyle name="procent 2" xfId="134" xr:uid="{00000000-0005-0000-0000-000078000000}"/>
    <cellStyle name="procent 3" xfId="135" xr:uid="{00000000-0005-0000-0000-000079000000}"/>
    <cellStyle name="procent 3 2" xfId="136" xr:uid="{00000000-0005-0000-0000-00007A000000}"/>
    <cellStyle name="Procenta 2" xfId="7" xr:uid="{00000000-0005-0000-0000-00007B000000}"/>
    <cellStyle name="Procenta 2 2" xfId="20" xr:uid="{00000000-0005-0000-0000-00007C000000}"/>
    <cellStyle name="Procenta 3" xfId="13" xr:uid="{00000000-0005-0000-0000-00007D000000}"/>
    <cellStyle name="Propojená buňka 2" xfId="82" xr:uid="{00000000-0005-0000-0000-00007E000000}"/>
    <cellStyle name="Propojená buňka 3" xfId="83" xr:uid="{00000000-0005-0000-0000-00007F000000}"/>
    <cellStyle name="součet" xfId="19" xr:uid="{00000000-0005-0000-0000-000080000000}"/>
    <cellStyle name="Správně 2" xfId="84" xr:uid="{00000000-0005-0000-0000-000081000000}"/>
    <cellStyle name="Správně 3" xfId="85" xr:uid="{00000000-0005-0000-0000-000082000000}"/>
    <cellStyle name="Text upozornění 2" xfId="86" xr:uid="{00000000-0005-0000-0000-000083000000}"/>
    <cellStyle name="Text upozornění 3" xfId="87" xr:uid="{00000000-0005-0000-0000-000084000000}"/>
    <cellStyle name="Vstup 2" xfId="88" xr:uid="{00000000-0005-0000-0000-000085000000}"/>
    <cellStyle name="Vstup 3" xfId="89" xr:uid="{00000000-0005-0000-0000-000086000000}"/>
    <cellStyle name="Výpočet 2" xfId="90" xr:uid="{00000000-0005-0000-0000-000087000000}"/>
    <cellStyle name="Výpočet 3" xfId="91" xr:uid="{00000000-0005-0000-0000-000088000000}"/>
    <cellStyle name="Výstup 2" xfId="92" xr:uid="{00000000-0005-0000-0000-000089000000}"/>
    <cellStyle name="Výstup 3" xfId="93" xr:uid="{00000000-0005-0000-0000-00008A000000}"/>
    <cellStyle name="Vysvětlující text 2" xfId="94" xr:uid="{00000000-0005-0000-0000-00008B000000}"/>
    <cellStyle name="Vysvětlující text 3" xfId="95" xr:uid="{00000000-0005-0000-0000-00008C000000}"/>
    <cellStyle name="Zadano" xfId="137" xr:uid="{00000000-0005-0000-0000-00008D000000}"/>
    <cellStyle name="Zvýraznění 1 2" xfId="96" xr:uid="{00000000-0005-0000-0000-00008E000000}"/>
    <cellStyle name="Zvýraznění 1 3" xfId="97" xr:uid="{00000000-0005-0000-0000-00008F000000}"/>
    <cellStyle name="Zvýraznění 2 2" xfId="98" xr:uid="{00000000-0005-0000-0000-000090000000}"/>
    <cellStyle name="Zvýraznění 2 3" xfId="99" xr:uid="{00000000-0005-0000-0000-000091000000}"/>
    <cellStyle name="Zvýraznění 3 2" xfId="100" xr:uid="{00000000-0005-0000-0000-000092000000}"/>
    <cellStyle name="Zvýraznění 3 3" xfId="101" xr:uid="{00000000-0005-0000-0000-000093000000}"/>
    <cellStyle name="Zvýraznění 4 2" xfId="102" xr:uid="{00000000-0005-0000-0000-000094000000}"/>
    <cellStyle name="Zvýraznění 4 3" xfId="103" xr:uid="{00000000-0005-0000-0000-000095000000}"/>
    <cellStyle name="Zvýraznění 5 2" xfId="104" xr:uid="{00000000-0005-0000-0000-000096000000}"/>
    <cellStyle name="Zvýraznění 5 3" xfId="105" xr:uid="{00000000-0005-0000-0000-000097000000}"/>
    <cellStyle name="Zvýraznění 6 2" xfId="106" xr:uid="{00000000-0005-0000-0000-000098000000}"/>
    <cellStyle name="Zvýraznění 6 3" xfId="107" xr:uid="{00000000-0005-0000-0000-000099000000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List1!$Q$130</c:f>
              <c:strCache>
                <c:ptCount val="1"/>
                <c:pt idx="0">
                  <c:v>Hradčany - Tišnov</c:v>
                </c:pt>
              </c:strCache>
            </c:strRef>
          </c:tx>
          <c:xVal>
            <c:numRef>
              <c:f>List1!$U$129:$W$129</c:f>
              <c:numCache>
                <c:formatCode>General</c:formatCode>
                <c:ptCount val="3"/>
                <c:pt idx="0">
                  <c:v>2011</c:v>
                </c:pt>
                <c:pt idx="1">
                  <c:v>2016</c:v>
                </c:pt>
                <c:pt idx="2">
                  <c:v>2017</c:v>
                </c:pt>
              </c:numCache>
            </c:numRef>
          </c:xVal>
          <c:yVal>
            <c:numRef>
              <c:f>List1!$U$130:$W$130</c:f>
              <c:numCache>
                <c:formatCode>_-* #\ ##0\ _K_č_-;\-* #\ ##0\ _K_č_-;_-* "-"??\ _K_č_-;_-@_-</c:formatCode>
                <c:ptCount val="3"/>
                <c:pt idx="0">
                  <c:v>2014285.1642857143</c:v>
                </c:pt>
                <c:pt idx="1">
                  <c:v>1941779.2222222225</c:v>
                </c:pt>
                <c:pt idx="2">
                  <c:v>1821617.4999999998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B9-4E72-A5A0-1EDF17CE9CE9}"/>
            </c:ext>
          </c:extLst>
        </c:ser>
        <c:ser>
          <c:idx val="1"/>
          <c:order val="1"/>
          <c:tx>
            <c:strRef>
              <c:f>List1!$Q$131</c:f>
              <c:strCache>
                <c:ptCount val="1"/>
                <c:pt idx="0">
                  <c:v>Tišnov - Dolní Loučky</c:v>
                </c:pt>
              </c:strCache>
            </c:strRef>
          </c:tx>
          <c:xVal>
            <c:numRef>
              <c:f>List1!$U$129:$W$129</c:f>
              <c:numCache>
                <c:formatCode>General</c:formatCode>
                <c:ptCount val="3"/>
                <c:pt idx="0">
                  <c:v>2011</c:v>
                </c:pt>
                <c:pt idx="1">
                  <c:v>2016</c:v>
                </c:pt>
                <c:pt idx="2">
                  <c:v>2017</c:v>
                </c:pt>
              </c:numCache>
            </c:numRef>
          </c:xVal>
          <c:yVal>
            <c:numRef>
              <c:f>List1!$U$131:$W$131</c:f>
              <c:numCache>
                <c:formatCode>_-* #\ ##0\ _K_č_-;\-* #\ ##0\ _K_č_-;_-* "-"??\ _K_č_-;_-@_-</c:formatCode>
                <c:ptCount val="3"/>
                <c:pt idx="0">
                  <c:v>873602.37142857153</c:v>
                </c:pt>
                <c:pt idx="1">
                  <c:v>818963.21111111098</c:v>
                </c:pt>
                <c:pt idx="2">
                  <c:v>724375.5555555555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B9-4E72-A5A0-1EDF17CE9CE9}"/>
            </c:ext>
          </c:extLst>
        </c:ser>
        <c:ser>
          <c:idx val="2"/>
          <c:order val="2"/>
          <c:tx>
            <c:strRef>
              <c:f>List1!$Q$132</c:f>
              <c:strCache>
                <c:ptCount val="1"/>
                <c:pt idx="0">
                  <c:v>Štěpánovice - Tišnov</c:v>
                </c:pt>
              </c:strCache>
            </c:strRef>
          </c:tx>
          <c:xVal>
            <c:numRef>
              <c:f>List1!$U$129:$W$129</c:f>
              <c:numCache>
                <c:formatCode>General</c:formatCode>
                <c:ptCount val="3"/>
                <c:pt idx="0">
                  <c:v>2011</c:v>
                </c:pt>
                <c:pt idx="1">
                  <c:v>2016</c:v>
                </c:pt>
                <c:pt idx="2">
                  <c:v>2017</c:v>
                </c:pt>
              </c:numCache>
            </c:numRef>
          </c:xVal>
          <c:yVal>
            <c:numRef>
              <c:f>List1!$U$132:$W$132</c:f>
              <c:numCache>
                <c:formatCode>_-* #\ ##0\ _K_č_-;\-* #\ ##0\ _K_č_-;_-* "-"??\ _K_č_-;_-@_-</c:formatCode>
                <c:ptCount val="3"/>
                <c:pt idx="0">
                  <c:v>388333.79285714286</c:v>
                </c:pt>
                <c:pt idx="1">
                  <c:v>370812.01111111109</c:v>
                </c:pt>
                <c:pt idx="2">
                  <c:v>352719.64285714284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B9-4E72-A5A0-1EDF17CE9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46080"/>
        <c:axId val="216447616"/>
      </c:scatterChart>
      <c:valAx>
        <c:axId val="21644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47616"/>
        <c:crosses val="autoZero"/>
        <c:crossBetween val="midCat"/>
      </c:valAx>
      <c:valAx>
        <c:axId val="216447616"/>
        <c:scaling>
          <c:orientation val="minMax"/>
        </c:scaling>
        <c:delete val="0"/>
        <c:axPos val="l"/>
        <c:majorGridlines/>
        <c:numFmt formatCode="_-* #\ ##0\ _K_č_-;\-* #\ ##0\ _K_č_-;_-* &quot;-&quot;??\ _K_č_-;_-@_-" sourceLinked="1"/>
        <c:majorTickMark val="out"/>
        <c:minorTickMark val="none"/>
        <c:tickLblPos val="nextTo"/>
        <c:crossAx val="216446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1109383</xdr:colOff>
      <xdr:row>133</xdr:row>
      <xdr:rowOff>1119</xdr:rowOff>
    </xdr:from>
    <xdr:to>
      <xdr:col>27</xdr:col>
      <xdr:colOff>257735</xdr:colOff>
      <xdr:row>156</xdr:row>
      <xdr:rowOff>67234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4581525</xdr:colOff>
      <xdr:row>217</xdr:row>
      <xdr:rowOff>152400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6477000" y="963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6%20-%20Metodika%20PN%20vlak&#36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i&#353;nov_ekonomik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A_EA_CBA_2017_Z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A_EA_CBA_2017_Z_1.07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018_Rekonstrukce%20&#381;ST%20Ti&#353;nov/G_N&#225;klady/G.1_Souhrnn&#253;%20rozpo&#269;et/04_Ti&#353;nov_koeficient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018_Rekonstrukce%20&#381;ST%20Ti&#353;nov/G_N&#225;klady/G.1_Souhrnn&#253;%20rozpo&#269;et/06_Ti&#353;nov_nov&#253;%20formul&#225;&#345;_nov&#225;%20C&#218;,%20nov&#253;%20koef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A_EA_CBA_2019_Z_1.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/>
      <sheetData sheetId="1"/>
      <sheetData sheetId="2"/>
      <sheetData sheetId="3"/>
      <sheetData sheetId="4"/>
      <sheetData sheetId="5">
        <row r="7">
          <cell r="J7">
            <v>1287</v>
          </cell>
          <cell r="K7">
            <v>1287</v>
          </cell>
          <cell r="M7">
            <v>2274</v>
          </cell>
          <cell r="N7">
            <v>1087</v>
          </cell>
          <cell r="O7">
            <v>1687</v>
          </cell>
        </row>
        <row r="17">
          <cell r="E17">
            <v>418.56925418569261</v>
          </cell>
          <cell r="F17">
            <v>1065.4490106544902</v>
          </cell>
          <cell r="G17">
            <v>875.19025875190243</v>
          </cell>
          <cell r="H17">
            <v>1065.4490106544902</v>
          </cell>
          <cell r="I17">
            <v>3500.7610350076097</v>
          </cell>
          <cell r="J17">
            <v>1837.8995433789953</v>
          </cell>
          <cell r="K17">
            <v>1212.5824454591577</v>
          </cell>
          <cell r="M17">
            <v>2057.3313039066466</v>
          </cell>
          <cell r="N17">
            <v>1837.8995433789953</v>
          </cell>
          <cell r="O17">
            <v>1837.8995433789953</v>
          </cell>
          <cell r="P17">
            <v>345.92500345925004</v>
          </cell>
        </row>
        <row r="18">
          <cell r="E18">
            <v>376.71232876712327</v>
          </cell>
          <cell r="F18">
            <v>958.90410958904124</v>
          </cell>
          <cell r="G18">
            <v>787.67123287671234</v>
          </cell>
          <cell r="H18">
            <v>958.90410958904124</v>
          </cell>
          <cell r="I18">
            <v>2351.5981735159817</v>
          </cell>
          <cell r="J18">
            <v>1337.5190258751904</v>
          </cell>
          <cell r="K18">
            <v>885.33739218670723</v>
          </cell>
          <cell r="M18">
            <v>1586.7579908675798</v>
          </cell>
          <cell r="N18">
            <v>1337.5190258751904</v>
          </cell>
          <cell r="O18">
            <v>1337.5190258751904</v>
          </cell>
          <cell r="P18">
            <v>311.33250311332506</v>
          </cell>
        </row>
        <row r="19">
          <cell r="E19">
            <v>19.908780091200008</v>
          </cell>
          <cell r="F19">
            <v>28.962565632000004</v>
          </cell>
          <cell r="G19">
            <v>45.835769548800016</v>
          </cell>
          <cell r="H19">
            <v>24.506786304000006</v>
          </cell>
          <cell r="I19">
            <v>56.463078672000023</v>
          </cell>
          <cell r="J19">
            <v>134.68267612800003</v>
          </cell>
          <cell r="K19">
            <v>122.43879648000004</v>
          </cell>
          <cell r="M19">
            <v>216.33708096000004</v>
          </cell>
          <cell r="N19">
            <v>113.75296732800001</v>
          </cell>
          <cell r="O19">
            <v>176.54209372800005</v>
          </cell>
          <cell r="P19">
            <v>87.988232011680026</v>
          </cell>
        </row>
        <row r="20">
          <cell r="E20">
            <v>908.95755102040823</v>
          </cell>
          <cell r="F20">
            <v>908.95755102040823</v>
          </cell>
          <cell r="G20">
            <v>908.95755102040823</v>
          </cell>
          <cell r="H20">
            <v>908.95755102040823</v>
          </cell>
          <cell r="I20">
            <v>908.95755102040823</v>
          </cell>
          <cell r="J20">
            <v>707.65400000000011</v>
          </cell>
          <cell r="K20">
            <v>1250.2200000000003</v>
          </cell>
          <cell r="M20">
            <v>1250.2200000000003</v>
          </cell>
          <cell r="N20">
            <v>707.65400000000011</v>
          </cell>
          <cell r="O20">
            <v>707.65400000000011</v>
          </cell>
          <cell r="P20">
            <v>707.65400000000011</v>
          </cell>
        </row>
        <row r="21">
          <cell r="E21">
            <v>681.7181632653062</v>
          </cell>
          <cell r="F21">
            <v>681.7181632653062</v>
          </cell>
          <cell r="G21">
            <v>681.7181632653062</v>
          </cell>
          <cell r="H21">
            <v>681.7181632653062</v>
          </cell>
          <cell r="I21">
            <v>681.7181632653062</v>
          </cell>
          <cell r="J21">
            <v>530.74050000000011</v>
          </cell>
          <cell r="K21">
            <v>937.66500000000019</v>
          </cell>
          <cell r="M21">
            <v>937.66500000000019</v>
          </cell>
          <cell r="N21">
            <v>530.74050000000011</v>
          </cell>
          <cell r="O21">
            <v>530.74050000000011</v>
          </cell>
          <cell r="P21">
            <v>530.74050000000011</v>
          </cell>
        </row>
        <row r="22">
          <cell r="E22">
            <v>2385.9572972385304</v>
          </cell>
          <cell r="F22">
            <v>3615.0288345292456</v>
          </cell>
          <cell r="G22">
            <v>3253.5372059143292</v>
          </cell>
          <cell r="H22">
            <v>3615.0288345292456</v>
          </cell>
          <cell r="I22">
            <v>7443.0349228093064</v>
          </cell>
          <cell r="J22">
            <v>4413.8130692541863</v>
          </cell>
          <cell r="K22">
            <v>4285.8048376458655</v>
          </cell>
          <cell r="M22">
            <v>5831.9742947742261</v>
          </cell>
          <cell r="N22">
            <v>4413.8130692541863</v>
          </cell>
          <cell r="O22">
            <v>4413.8130692541863</v>
          </cell>
          <cell r="P22">
            <v>1895.6520065725751</v>
          </cell>
        </row>
        <row r="23">
          <cell r="E23">
            <v>19.908780091200008</v>
          </cell>
          <cell r="F23">
            <v>28.962565632000004</v>
          </cell>
          <cell r="G23">
            <v>45.835769548800016</v>
          </cell>
          <cell r="H23">
            <v>24.506786304000006</v>
          </cell>
          <cell r="I23">
            <v>56.463078672000023</v>
          </cell>
          <cell r="J23">
            <v>134.68267612800003</v>
          </cell>
          <cell r="K23">
            <v>122.43879648000004</v>
          </cell>
          <cell r="M23">
            <v>216.33708096000004</v>
          </cell>
          <cell r="N23">
            <v>113.75296732800001</v>
          </cell>
          <cell r="O23">
            <v>176.54209372800005</v>
          </cell>
          <cell r="P23">
            <v>87.988232011680026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tabulky"/>
      <sheetName val="Provozní náklady"/>
      <sheetName val="Úspora času"/>
      <sheetName val="FA"/>
      <sheetName val="EA"/>
      <sheetName val="analýza citlivosti"/>
      <sheetName val="FA-20%IN"/>
      <sheetName val="FA-10%IN"/>
      <sheetName val="FA_IN_přepínací"/>
      <sheetName val="FA+10%IN"/>
      <sheetName val="FA+20%IN"/>
      <sheetName val="FA-20%Ú+O"/>
      <sheetName val="FA-10%Ú+O"/>
      <sheetName val="FA+10%Ú+O"/>
      <sheetName val="FA+20%Ú+O"/>
      <sheetName val="EA-20%IN"/>
      <sheetName val="EA-10%IN"/>
      <sheetName val="EA_IN přepínací"/>
      <sheetName val="EA+10%IN"/>
      <sheetName val="EA+20%IN"/>
      <sheetName val="EA-20%Ú+O"/>
      <sheetName val="EA-10%Ú+O"/>
      <sheetName val="EA+10%Ú+O"/>
      <sheetName val="EA+20%Ú+O"/>
      <sheetName val="EA-20%ÚČ"/>
      <sheetName val="EA-10%ÚČ"/>
      <sheetName val="EA+10%ÚČ"/>
      <sheetName val="EA+20%ÚČ"/>
      <sheetName val="List1"/>
      <sheetName val="EA-20%PN"/>
      <sheetName val="EA-10%PN"/>
      <sheetName val="EA+10%PN"/>
      <sheetName val="EA+20%PN"/>
      <sheetName val="EA-20%NAD"/>
      <sheetName val="EA-10%NAD"/>
      <sheetName val="EA+10%NAD"/>
      <sheetName val="EA+20%NAD"/>
    </sheetNames>
    <sheetDataSet>
      <sheetData sheetId="0" refreshError="1"/>
      <sheetData sheetId="1">
        <row r="8">
          <cell r="C8">
            <v>11627.196498873727</v>
          </cell>
        </row>
        <row r="38">
          <cell r="AK38">
            <v>405634796.05949485</v>
          </cell>
        </row>
        <row r="75">
          <cell r="AK75">
            <v>374105047.35126168</v>
          </cell>
        </row>
      </sheetData>
      <sheetData sheetId="2">
        <row r="5">
          <cell r="BV5">
            <v>659911.29966666654</v>
          </cell>
          <cell r="BZ5">
            <v>1319822.5993333331</v>
          </cell>
          <cell r="CC5">
            <v>381238.85488888883</v>
          </cell>
          <cell r="CG5">
            <v>371272.69607142854</v>
          </cell>
          <cell r="CI5">
            <v>0</v>
          </cell>
        </row>
        <row r="6">
          <cell r="BV6">
            <v>664586.7845833333</v>
          </cell>
          <cell r="BZ6">
            <v>1329173.5691666666</v>
          </cell>
          <cell r="CC6">
            <v>383158.4501111111</v>
          </cell>
          <cell r="CG6">
            <v>373142.11017857143</v>
          </cell>
          <cell r="CI6">
            <v>0</v>
          </cell>
          <cell r="CX6">
            <v>183</v>
          </cell>
          <cell r="CZ6">
            <v>50</v>
          </cell>
          <cell r="DA6">
            <v>278</v>
          </cell>
          <cell r="DJ6">
            <v>15</v>
          </cell>
          <cell r="DP6">
            <v>160</v>
          </cell>
          <cell r="DQ6">
            <v>2</v>
          </cell>
        </row>
        <row r="7">
          <cell r="BV7">
            <v>669262.26949999994</v>
          </cell>
          <cell r="BZ7">
            <v>1338524.5389999999</v>
          </cell>
          <cell r="CC7">
            <v>385078.04533333337</v>
          </cell>
          <cell r="CG7">
            <v>375011.52428571432</v>
          </cell>
          <cell r="CI7">
            <v>0</v>
          </cell>
          <cell r="CZ7">
            <v>15</v>
          </cell>
          <cell r="DJ7">
            <v>15</v>
          </cell>
        </row>
        <row r="8">
          <cell r="BV8">
            <v>673937.75441666646</v>
          </cell>
          <cell r="BZ8">
            <v>1347875.5088333329</v>
          </cell>
          <cell r="CC8">
            <v>387214.95322222216</v>
          </cell>
          <cell r="CG8">
            <v>377092.57017857139</v>
          </cell>
          <cell r="CI8">
            <v>0</v>
          </cell>
          <cell r="DQ8">
            <v>5</v>
          </cell>
        </row>
        <row r="9">
          <cell r="BV9">
            <v>678613.23933333333</v>
          </cell>
          <cell r="BZ9">
            <v>1357226.4786666667</v>
          </cell>
          <cell r="CC9">
            <v>389351.86111111112</v>
          </cell>
          <cell r="CG9">
            <v>379173.61607142864</v>
          </cell>
          <cell r="CI9">
            <v>0</v>
          </cell>
          <cell r="CZ9">
            <v>5</v>
          </cell>
          <cell r="DJ9">
            <v>5</v>
          </cell>
          <cell r="DQ9">
            <v>8</v>
          </cell>
        </row>
        <row r="10">
          <cell r="BV10">
            <v>683288.72424999985</v>
          </cell>
          <cell r="BZ10">
            <v>1366577.4484999997</v>
          </cell>
          <cell r="CC10">
            <v>391488.76899999997</v>
          </cell>
          <cell r="CG10">
            <v>381254.66196428571</v>
          </cell>
          <cell r="CI10">
            <v>0</v>
          </cell>
          <cell r="CZ10">
            <v>50</v>
          </cell>
          <cell r="DJ10">
            <v>10</v>
          </cell>
        </row>
        <row r="11">
          <cell r="BV11">
            <v>686094.01519999991</v>
          </cell>
          <cell r="BZ11">
            <v>1372188.0303999998</v>
          </cell>
          <cell r="CC11">
            <v>392510.13853333332</v>
          </cell>
          <cell r="CG11">
            <v>382249.33135714283</v>
          </cell>
          <cell r="CI11">
            <v>0</v>
          </cell>
        </row>
        <row r="12">
          <cell r="BV12">
            <v>688899.30614999984</v>
          </cell>
          <cell r="BZ12">
            <v>1377798.6122999997</v>
          </cell>
          <cell r="CC12">
            <v>393531.5080666666</v>
          </cell>
          <cell r="CG12">
            <v>383244.00074999995</v>
          </cell>
          <cell r="CI12">
            <v>0</v>
          </cell>
        </row>
        <row r="13">
          <cell r="BV13">
            <v>691704.5970999999</v>
          </cell>
          <cell r="BZ13">
            <v>1383409.1941999998</v>
          </cell>
          <cell r="CC13">
            <v>394987.50293333328</v>
          </cell>
          <cell r="CG13">
            <v>384661.93371428567</v>
          </cell>
          <cell r="CI13">
            <v>0</v>
          </cell>
          <cell r="CZ13">
            <v>6</v>
          </cell>
          <cell r="DA13">
            <v>80</v>
          </cell>
          <cell r="DJ13">
            <v>6</v>
          </cell>
          <cell r="DQ13">
            <v>2</v>
          </cell>
        </row>
        <row r="14">
          <cell r="BV14">
            <v>694509.88804999995</v>
          </cell>
          <cell r="BZ14">
            <v>1389019.7760999999</v>
          </cell>
          <cell r="CC14">
            <v>396443.49779999995</v>
          </cell>
          <cell r="CG14">
            <v>386079.86667857139</v>
          </cell>
          <cell r="CI14">
            <v>0</v>
          </cell>
          <cell r="CX14">
            <v>3</v>
          </cell>
          <cell r="CY14">
            <v>100</v>
          </cell>
          <cell r="CZ14">
            <v>5</v>
          </cell>
          <cell r="DJ14">
            <v>5</v>
          </cell>
          <cell r="DP14">
            <v>3</v>
          </cell>
        </row>
        <row r="15">
          <cell r="BV15">
            <v>697315.17899999977</v>
          </cell>
          <cell r="BZ15">
            <v>1394630.3579999995</v>
          </cell>
          <cell r="CC15">
            <v>397899.49266666657</v>
          </cell>
          <cell r="CG15">
            <v>387497.79964285705</v>
          </cell>
          <cell r="CI15">
            <v>0</v>
          </cell>
          <cell r="CZ15">
            <v>2</v>
          </cell>
          <cell r="DA15">
            <v>100</v>
          </cell>
          <cell r="DJ15">
            <v>2</v>
          </cell>
          <cell r="DQ15">
            <v>7</v>
          </cell>
        </row>
        <row r="16">
          <cell r="BV16">
            <v>700205.47876666661</v>
          </cell>
          <cell r="BZ16">
            <v>1400410.9575333332</v>
          </cell>
          <cell r="CC16">
            <v>399406.19382222218</v>
          </cell>
          <cell r="CG16">
            <v>388965.11335714284</v>
          </cell>
          <cell r="CI16">
            <v>0</v>
          </cell>
          <cell r="CZ16">
            <v>1</v>
          </cell>
          <cell r="DJ16">
            <v>1</v>
          </cell>
          <cell r="DQ16">
            <v>6</v>
          </cell>
        </row>
        <row r="17">
          <cell r="BV17">
            <v>703095.77853333333</v>
          </cell>
          <cell r="BZ17">
            <v>1406191.5570666667</v>
          </cell>
          <cell r="CC17">
            <v>400912.89497777773</v>
          </cell>
          <cell r="CG17">
            <v>390432.42707142851</v>
          </cell>
          <cell r="CI17">
            <v>0</v>
          </cell>
          <cell r="CZ17">
            <v>2</v>
          </cell>
          <cell r="DJ17">
            <v>2</v>
          </cell>
        </row>
        <row r="18">
          <cell r="BV18">
            <v>705986.07829999982</v>
          </cell>
          <cell r="BZ18">
            <v>1411972.1565999996</v>
          </cell>
          <cell r="CC18">
            <v>402202.28346666659</v>
          </cell>
          <cell r="CG18">
            <v>391688.10899999994</v>
          </cell>
          <cell r="CI18">
            <v>0</v>
          </cell>
        </row>
        <row r="19">
          <cell r="BV19">
            <v>708876.37806666654</v>
          </cell>
          <cell r="BZ19">
            <v>1417752.7561333331</v>
          </cell>
          <cell r="CC19">
            <v>403491.6719555555</v>
          </cell>
          <cell r="CG19">
            <v>392943.79092857137</v>
          </cell>
          <cell r="CI19">
            <v>0</v>
          </cell>
          <cell r="CZ19">
            <v>5</v>
          </cell>
          <cell r="DJ19">
            <v>5</v>
          </cell>
        </row>
        <row r="20">
          <cell r="BV20">
            <v>711766.67783333315</v>
          </cell>
          <cell r="BZ20">
            <v>1423533.3556666663</v>
          </cell>
          <cell r="CC20">
            <v>404781.06044444442</v>
          </cell>
          <cell r="CG20">
            <v>394199.4728571428</v>
          </cell>
          <cell r="CI20">
            <v>0</v>
          </cell>
          <cell r="CZ20">
            <v>12</v>
          </cell>
          <cell r="DA20">
            <v>160</v>
          </cell>
          <cell r="DQ20">
            <v>1</v>
          </cell>
        </row>
        <row r="21">
          <cell r="BV21">
            <v>714741.98641666642</v>
          </cell>
          <cell r="BZ21">
            <v>1429483.9728333328</v>
          </cell>
          <cell r="CC21">
            <v>406121.15522222221</v>
          </cell>
          <cell r="CG21">
            <v>395504.53553571424</v>
          </cell>
          <cell r="CI21">
            <v>0</v>
          </cell>
          <cell r="CX21">
            <v>5</v>
          </cell>
          <cell r="CY21">
            <v>230</v>
          </cell>
          <cell r="CZ21">
            <v>20</v>
          </cell>
          <cell r="DJ21">
            <v>20</v>
          </cell>
          <cell r="DP21">
            <v>5</v>
          </cell>
          <cell r="DQ21">
            <v>5</v>
          </cell>
        </row>
        <row r="22">
          <cell r="BV22">
            <v>717717.29499999993</v>
          </cell>
          <cell r="BZ22">
            <v>1435434.5899999999</v>
          </cell>
          <cell r="CC22">
            <v>407461.25</v>
          </cell>
          <cell r="CG22">
            <v>396809.59821428568</v>
          </cell>
          <cell r="CI22">
            <v>0</v>
          </cell>
          <cell r="CX22">
            <v>3</v>
          </cell>
          <cell r="CY22">
            <v>14</v>
          </cell>
          <cell r="DP22">
            <v>3</v>
          </cell>
          <cell r="DQ22">
            <v>3</v>
          </cell>
        </row>
        <row r="23">
          <cell r="BV23">
            <v>720692.6035833332</v>
          </cell>
          <cell r="BZ23">
            <v>1441385.2071666664</v>
          </cell>
          <cell r="CC23">
            <v>409018.65744444443</v>
          </cell>
          <cell r="CG23">
            <v>398326.29267857142</v>
          </cell>
          <cell r="CI23">
            <v>0</v>
          </cell>
          <cell r="CZ23">
            <v>5</v>
          </cell>
          <cell r="DJ23">
            <v>5</v>
          </cell>
          <cell r="DQ23">
            <v>10</v>
          </cell>
        </row>
        <row r="24">
          <cell r="BV24">
            <v>723667.91216666659</v>
          </cell>
          <cell r="BZ24">
            <v>1447335.8243333332</v>
          </cell>
          <cell r="CC24">
            <v>410576.06488888885</v>
          </cell>
          <cell r="CG24">
            <v>399842.98714285711</v>
          </cell>
          <cell r="CI24">
            <v>0</v>
          </cell>
          <cell r="CZ24">
            <v>2</v>
          </cell>
          <cell r="DJ24">
            <v>2</v>
          </cell>
          <cell r="DQ24">
            <v>2</v>
          </cell>
        </row>
        <row r="25">
          <cell r="BV25">
            <v>726643.22074999986</v>
          </cell>
          <cell r="BZ25">
            <v>1453286.4414999997</v>
          </cell>
          <cell r="CC25">
            <v>412133.47233333328</v>
          </cell>
          <cell r="CG25">
            <v>401359.68160714279</v>
          </cell>
          <cell r="CI25">
            <v>0</v>
          </cell>
          <cell r="CZ25">
            <v>5</v>
          </cell>
          <cell r="DJ25">
            <v>5</v>
          </cell>
          <cell r="DQ25">
            <v>2</v>
          </cell>
        </row>
        <row r="26">
          <cell r="BV26">
            <v>729703.53814999992</v>
          </cell>
          <cell r="BZ26">
            <v>1459407.0762999998</v>
          </cell>
          <cell r="CC26">
            <v>413741.58606666658</v>
          </cell>
          <cell r="CG26">
            <v>402925.75682142854</v>
          </cell>
          <cell r="CI26">
            <v>0</v>
          </cell>
          <cell r="CZ26">
            <v>2</v>
          </cell>
          <cell r="DA26">
            <v>14</v>
          </cell>
          <cell r="DJ26">
            <v>2</v>
          </cell>
          <cell r="DQ26">
            <v>2</v>
          </cell>
        </row>
        <row r="27">
          <cell r="BV27">
            <v>732763.85554999975</v>
          </cell>
          <cell r="BZ27">
            <v>1465527.7110999995</v>
          </cell>
          <cell r="CC27">
            <v>415349.69979999989</v>
          </cell>
          <cell r="CG27">
            <v>404491.83203571418</v>
          </cell>
          <cell r="CI27">
            <v>0</v>
          </cell>
          <cell r="CX27">
            <v>4</v>
          </cell>
          <cell r="CY27">
            <v>150</v>
          </cell>
          <cell r="CZ27">
            <v>9</v>
          </cell>
          <cell r="DA27">
            <v>120</v>
          </cell>
          <cell r="DP27">
            <v>4</v>
          </cell>
          <cell r="DQ27">
            <v>2</v>
          </cell>
        </row>
        <row r="28">
          <cell r="BV28">
            <v>735824.1729499998</v>
          </cell>
          <cell r="BZ28">
            <v>1471648.3458999996</v>
          </cell>
          <cell r="CC28">
            <v>416957.81353333325</v>
          </cell>
          <cell r="CG28">
            <v>406057.90724999993</v>
          </cell>
          <cell r="CI28">
            <v>0</v>
          </cell>
          <cell r="CZ28">
            <v>5</v>
          </cell>
          <cell r="DJ28">
            <v>5</v>
          </cell>
        </row>
        <row r="29">
          <cell r="BV29">
            <v>738884.49034999975</v>
          </cell>
          <cell r="BZ29">
            <v>1477768.9806999995</v>
          </cell>
          <cell r="CC29">
            <v>418565.92726666655</v>
          </cell>
          <cell r="CG29">
            <v>407623.98246428557</v>
          </cell>
          <cell r="CI29">
            <v>0</v>
          </cell>
          <cell r="DQ29">
            <v>2</v>
          </cell>
        </row>
        <row r="30">
          <cell r="BV30">
            <v>741944.80774999992</v>
          </cell>
          <cell r="BZ30">
            <v>1483889.6154999998</v>
          </cell>
          <cell r="CC30">
            <v>420174.04099999991</v>
          </cell>
          <cell r="CG30">
            <v>409190.05767857138</v>
          </cell>
          <cell r="CI30">
            <v>0</v>
          </cell>
          <cell r="CZ30">
            <v>3</v>
          </cell>
          <cell r="DJ30">
            <v>3</v>
          </cell>
        </row>
        <row r="31">
          <cell r="BV31">
            <v>745090.13396666653</v>
          </cell>
          <cell r="BZ31">
            <v>1490180.2679333331</v>
          </cell>
          <cell r="CC31">
            <v>421832.86102222215</v>
          </cell>
          <cell r="CG31">
            <v>410805.51364285708</v>
          </cell>
          <cell r="CI31">
            <v>0</v>
          </cell>
          <cell r="CZ31">
            <v>2</v>
          </cell>
          <cell r="DA31">
            <v>10</v>
          </cell>
          <cell r="DJ31">
            <v>2</v>
          </cell>
          <cell r="DQ31">
            <v>4</v>
          </cell>
        </row>
        <row r="32">
          <cell r="BV32">
            <v>748235.46018333314</v>
          </cell>
          <cell r="BZ32">
            <v>1496470.9203666663</v>
          </cell>
          <cell r="CC32">
            <v>423491.68104444438</v>
          </cell>
          <cell r="CG32">
            <v>412420.96960714285</v>
          </cell>
          <cell r="CI32">
            <v>0</v>
          </cell>
          <cell r="CZ32">
            <v>2</v>
          </cell>
          <cell r="DJ32">
            <v>2</v>
          </cell>
        </row>
        <row r="33">
          <cell r="BV33">
            <v>751380.78639999987</v>
          </cell>
          <cell r="BZ33">
            <v>1502761.5727999997</v>
          </cell>
          <cell r="CC33">
            <v>425150.50106666662</v>
          </cell>
          <cell r="CG33">
            <v>414036.42557142855</v>
          </cell>
          <cell r="CI33">
            <v>0</v>
          </cell>
          <cell r="CX33">
            <v>10</v>
          </cell>
          <cell r="CY33">
            <v>348</v>
          </cell>
          <cell r="CZ33">
            <v>15</v>
          </cell>
          <cell r="DA33">
            <v>278</v>
          </cell>
          <cell r="DP33">
            <v>10</v>
          </cell>
          <cell r="DQ33">
            <v>2</v>
          </cell>
        </row>
        <row r="34">
          <cell r="BV34">
            <v>754526.11261666648</v>
          </cell>
          <cell r="BZ34">
            <v>1509052.225233333</v>
          </cell>
          <cell r="CC34">
            <v>426809.3210888888</v>
          </cell>
          <cell r="CG34">
            <v>415651.8815357142</v>
          </cell>
          <cell r="CI34">
            <v>0</v>
          </cell>
        </row>
        <row r="40">
          <cell r="BQ40">
            <v>1.0868</v>
          </cell>
          <cell r="BT40">
            <v>1.0526</v>
          </cell>
        </row>
        <row r="41">
          <cell r="BQ41">
            <v>1.0945</v>
          </cell>
          <cell r="BT41">
            <v>1.0579000000000001</v>
          </cell>
        </row>
        <row r="42">
          <cell r="BQ42">
            <v>1.1022000000000001</v>
          </cell>
          <cell r="BT42">
            <v>1.0632000000000001</v>
          </cell>
        </row>
        <row r="43">
          <cell r="BQ43">
            <v>1.1098999999999999</v>
          </cell>
          <cell r="BT43">
            <v>1.0690999999999999</v>
          </cell>
        </row>
        <row r="44">
          <cell r="BQ44">
            <v>1.1176000000000001</v>
          </cell>
          <cell r="BT44">
            <v>1.0750000000000002</v>
          </cell>
        </row>
        <row r="45">
          <cell r="BQ45">
            <v>1.1253</v>
          </cell>
          <cell r="BT45">
            <v>1.0809</v>
          </cell>
        </row>
        <row r="46">
          <cell r="BQ46">
            <v>1.12992</v>
          </cell>
          <cell r="BT46">
            <v>1.08372</v>
          </cell>
        </row>
        <row r="47">
          <cell r="BQ47">
            <v>1.1345399999999999</v>
          </cell>
          <cell r="BT47">
            <v>1.0865399999999998</v>
          </cell>
        </row>
        <row r="48">
          <cell r="BQ48">
            <v>1.13916</v>
          </cell>
          <cell r="BT48">
            <v>1.09056</v>
          </cell>
        </row>
        <row r="49">
          <cell r="BQ49">
            <v>1.14378</v>
          </cell>
          <cell r="BT49">
            <v>1.0945799999999999</v>
          </cell>
        </row>
        <row r="50">
          <cell r="BQ50">
            <v>1.1483999999999999</v>
          </cell>
          <cell r="BT50">
            <v>1.0985999999999998</v>
          </cell>
        </row>
        <row r="51">
          <cell r="BQ51">
            <v>1.15316</v>
          </cell>
          <cell r="BT51">
            <v>1.10276</v>
          </cell>
        </row>
        <row r="52">
          <cell r="BQ52">
            <v>1.1579200000000001</v>
          </cell>
          <cell r="BT52">
            <v>1.1069199999999999</v>
          </cell>
        </row>
        <row r="53">
          <cell r="BQ53">
            <v>1.1626799999999999</v>
          </cell>
          <cell r="BT53">
            <v>1.1104799999999999</v>
          </cell>
        </row>
        <row r="54">
          <cell r="BQ54">
            <v>1.16744</v>
          </cell>
          <cell r="BT54">
            <v>1.1140399999999999</v>
          </cell>
        </row>
        <row r="55">
          <cell r="BQ55">
            <v>1.1721999999999999</v>
          </cell>
          <cell r="BT55">
            <v>1.1175999999999999</v>
          </cell>
        </row>
        <row r="56">
          <cell r="BQ56">
            <v>1.1770999999999998</v>
          </cell>
          <cell r="BT56">
            <v>1.1213</v>
          </cell>
        </row>
        <row r="57">
          <cell r="BQ57">
            <v>1.1819999999999999</v>
          </cell>
          <cell r="BT57">
            <v>1.125</v>
          </cell>
        </row>
        <row r="58">
          <cell r="BQ58">
            <v>1.1868999999999998</v>
          </cell>
          <cell r="BT58">
            <v>1.1293</v>
          </cell>
        </row>
        <row r="59">
          <cell r="BQ59">
            <v>1.1918</v>
          </cell>
          <cell r="BT59">
            <v>1.1335999999999999</v>
          </cell>
        </row>
        <row r="60">
          <cell r="BQ60">
            <v>1.1966999999999999</v>
          </cell>
          <cell r="BT60">
            <v>1.1378999999999999</v>
          </cell>
        </row>
        <row r="61">
          <cell r="BQ61">
            <v>1.20174</v>
          </cell>
          <cell r="BT61">
            <v>1.1423399999999999</v>
          </cell>
        </row>
        <row r="62">
          <cell r="BQ62">
            <v>1.2067799999999997</v>
          </cell>
          <cell r="BT62">
            <v>1.1467799999999997</v>
          </cell>
        </row>
        <row r="63">
          <cell r="BQ63">
            <v>1.2118199999999999</v>
          </cell>
          <cell r="BT63">
            <v>1.1512199999999999</v>
          </cell>
        </row>
        <row r="64">
          <cell r="BQ64">
            <v>1.2168599999999998</v>
          </cell>
          <cell r="BT64">
            <v>1.1556599999999997</v>
          </cell>
        </row>
        <row r="65">
          <cell r="BQ65">
            <v>1.2219</v>
          </cell>
          <cell r="BT65">
            <v>1.1600999999999999</v>
          </cell>
        </row>
        <row r="66">
          <cell r="BQ66">
            <v>1.2270799999999999</v>
          </cell>
          <cell r="BT66">
            <v>1.1646799999999999</v>
          </cell>
        </row>
        <row r="67">
          <cell r="BQ67">
            <v>1.2322599999999999</v>
          </cell>
          <cell r="BT67">
            <v>1.16926</v>
          </cell>
        </row>
        <row r="68">
          <cell r="BQ68">
            <v>1.2374399999999999</v>
          </cell>
          <cell r="BT68">
            <v>1.17384</v>
          </cell>
        </row>
        <row r="69">
          <cell r="BQ69">
            <v>1.2426199999999998</v>
          </cell>
          <cell r="BT69">
            <v>1.1784199999999998</v>
          </cell>
        </row>
        <row r="155">
          <cell r="BN155">
            <v>10220</v>
          </cell>
          <cell r="BO155">
            <v>6570</v>
          </cell>
        </row>
        <row r="156">
          <cell r="BN156">
            <v>10220</v>
          </cell>
          <cell r="BO156">
            <v>6570</v>
          </cell>
        </row>
        <row r="157">
          <cell r="CA157">
            <v>3285</v>
          </cell>
          <cell r="CB157">
            <v>2920</v>
          </cell>
          <cell r="CC157">
            <v>5840</v>
          </cell>
        </row>
        <row r="158">
          <cell r="CA158">
            <v>3285</v>
          </cell>
          <cell r="CB158">
            <v>2920</v>
          </cell>
          <cell r="CC158">
            <v>5840</v>
          </cell>
        </row>
        <row r="159">
          <cell r="CA159">
            <v>3285</v>
          </cell>
          <cell r="CB159">
            <v>2920</v>
          </cell>
          <cell r="CC159">
            <v>5840</v>
          </cell>
        </row>
        <row r="160">
          <cell r="CA160">
            <v>3285</v>
          </cell>
          <cell r="CB160">
            <v>2920</v>
          </cell>
          <cell r="CC160">
            <v>5840</v>
          </cell>
        </row>
        <row r="161">
          <cell r="CA161">
            <v>2920</v>
          </cell>
          <cell r="CB161">
            <v>2555</v>
          </cell>
          <cell r="CC161">
            <v>5840</v>
          </cell>
        </row>
        <row r="162">
          <cell r="CA162">
            <v>2920</v>
          </cell>
          <cell r="CB162">
            <v>2555</v>
          </cell>
          <cell r="CC162">
            <v>5475</v>
          </cell>
        </row>
        <row r="163">
          <cell r="CA163">
            <v>2555</v>
          </cell>
          <cell r="CB163">
            <v>2555</v>
          </cell>
          <cell r="CC163">
            <v>5110</v>
          </cell>
        </row>
        <row r="164">
          <cell r="CA164">
            <v>2555</v>
          </cell>
          <cell r="CB164">
            <v>2555</v>
          </cell>
          <cell r="CC164">
            <v>4745</v>
          </cell>
        </row>
        <row r="165">
          <cell r="CA165">
            <v>2190</v>
          </cell>
          <cell r="CB165">
            <v>2190</v>
          </cell>
          <cell r="CC165">
            <v>4745</v>
          </cell>
        </row>
        <row r="166">
          <cell r="CA166">
            <v>2555</v>
          </cell>
          <cell r="CB166">
            <v>2190</v>
          </cell>
          <cell r="CC166">
            <v>4745</v>
          </cell>
        </row>
        <row r="167">
          <cell r="CA167">
            <v>2555</v>
          </cell>
          <cell r="CB167">
            <v>2555</v>
          </cell>
          <cell r="CC167">
            <v>4745</v>
          </cell>
        </row>
        <row r="168">
          <cell r="CA168">
            <v>2190</v>
          </cell>
          <cell r="CB168">
            <v>2555</v>
          </cell>
          <cell r="CC168">
            <v>5110</v>
          </cell>
        </row>
        <row r="169">
          <cell r="CA169">
            <v>2920</v>
          </cell>
          <cell r="CB169">
            <v>2555</v>
          </cell>
          <cell r="CC169">
            <v>5110</v>
          </cell>
        </row>
        <row r="170">
          <cell r="CA170">
            <v>2920</v>
          </cell>
          <cell r="CB170">
            <v>2920</v>
          </cell>
          <cell r="CC170">
            <v>5110</v>
          </cell>
        </row>
        <row r="171">
          <cell r="CA171">
            <v>2555</v>
          </cell>
          <cell r="CB171">
            <v>2920</v>
          </cell>
          <cell r="CC171">
            <v>5475</v>
          </cell>
        </row>
        <row r="172">
          <cell r="CA172">
            <v>2920</v>
          </cell>
          <cell r="CB172">
            <v>2555</v>
          </cell>
          <cell r="CC172">
            <v>5840</v>
          </cell>
        </row>
        <row r="173">
          <cell r="CA173">
            <v>2920</v>
          </cell>
          <cell r="CB173">
            <v>2920</v>
          </cell>
          <cell r="CC173">
            <v>5840</v>
          </cell>
        </row>
        <row r="174">
          <cell r="CA174">
            <v>2920</v>
          </cell>
          <cell r="CB174">
            <v>3285</v>
          </cell>
          <cell r="CC174">
            <v>5840</v>
          </cell>
        </row>
        <row r="175">
          <cell r="CA175">
            <v>3285</v>
          </cell>
          <cell r="CB175">
            <v>2920</v>
          </cell>
          <cell r="CC175">
            <v>6205</v>
          </cell>
        </row>
        <row r="176">
          <cell r="CA176">
            <v>3285</v>
          </cell>
          <cell r="CB176">
            <v>3285</v>
          </cell>
          <cell r="CC176">
            <v>6205</v>
          </cell>
        </row>
        <row r="177">
          <cell r="CA177">
            <v>3650</v>
          </cell>
          <cell r="CB177">
            <v>3285</v>
          </cell>
          <cell r="CC177">
            <v>6205</v>
          </cell>
        </row>
        <row r="178">
          <cell r="CA178">
            <v>3650</v>
          </cell>
          <cell r="CB178">
            <v>3285</v>
          </cell>
          <cell r="CC178">
            <v>6570</v>
          </cell>
        </row>
        <row r="179">
          <cell r="CA179">
            <v>3285</v>
          </cell>
          <cell r="CB179">
            <v>3285</v>
          </cell>
          <cell r="CC179">
            <v>6935</v>
          </cell>
        </row>
        <row r="180">
          <cell r="CA180">
            <v>3285</v>
          </cell>
          <cell r="CB180">
            <v>3650</v>
          </cell>
          <cell r="CC180">
            <v>6935</v>
          </cell>
        </row>
        <row r="181">
          <cell r="CA181">
            <v>3285</v>
          </cell>
          <cell r="CB181">
            <v>3650</v>
          </cell>
          <cell r="CC181">
            <v>7300</v>
          </cell>
        </row>
        <row r="182">
          <cell r="CA182">
            <v>3650</v>
          </cell>
          <cell r="CB182">
            <v>3650</v>
          </cell>
          <cell r="CC182">
            <v>7300</v>
          </cell>
        </row>
        <row r="183">
          <cell r="CA183">
            <v>3285</v>
          </cell>
          <cell r="CB183">
            <v>3650</v>
          </cell>
          <cell r="CC183">
            <v>7665</v>
          </cell>
        </row>
        <row r="184">
          <cell r="CA184">
            <v>4015</v>
          </cell>
          <cell r="CB184">
            <v>3650</v>
          </cell>
          <cell r="CC184">
            <v>7665</v>
          </cell>
        </row>
      </sheetData>
      <sheetData sheetId="3">
        <row r="37">
          <cell r="E37">
            <v>-537563.75675188983</v>
          </cell>
        </row>
      </sheetData>
      <sheetData sheetId="4">
        <row r="37">
          <cell r="G37">
            <v>305392.46438094147</v>
          </cell>
        </row>
        <row r="38">
          <cell r="G38">
            <v>9.3299999999999994E-2</v>
          </cell>
        </row>
      </sheetData>
      <sheetData sheetId="5" refreshError="1"/>
      <sheetData sheetId="6">
        <row r="37">
          <cell r="E37">
            <v>-177102.1145465679</v>
          </cell>
        </row>
      </sheetData>
      <sheetData sheetId="7">
        <row r="37">
          <cell r="E37">
            <v>-357332.93564922892</v>
          </cell>
        </row>
      </sheetData>
      <sheetData sheetId="8">
        <row r="1">
          <cell r="E1">
            <v>-0.29826405576085635</v>
          </cell>
        </row>
        <row r="37">
          <cell r="E37">
            <v>0</v>
          </cell>
        </row>
        <row r="38">
          <cell r="E38">
            <v>0.04</v>
          </cell>
        </row>
      </sheetData>
      <sheetData sheetId="9">
        <row r="37">
          <cell r="E37">
            <v>-717794.57785455091</v>
          </cell>
        </row>
      </sheetData>
      <sheetData sheetId="10">
        <row r="37">
          <cell r="E37">
            <v>-898025.39895721176</v>
          </cell>
        </row>
      </sheetData>
      <sheetData sheetId="11">
        <row r="37">
          <cell r="E37">
            <v>-763249.6179158967</v>
          </cell>
        </row>
      </sheetData>
      <sheetData sheetId="12">
        <row r="37">
          <cell r="E37">
            <v>-650406.68733389303</v>
          </cell>
        </row>
      </sheetData>
      <sheetData sheetId="13">
        <row r="37">
          <cell r="E37">
            <v>-424720.82616988634</v>
          </cell>
        </row>
      </sheetData>
      <sheetData sheetId="14">
        <row r="37">
          <cell r="E37">
            <v>-311877.89558788325</v>
          </cell>
        </row>
      </sheetData>
      <sheetData sheetId="15">
        <row r="37">
          <cell r="G37">
            <v>574440.1687428318</v>
          </cell>
        </row>
        <row r="38">
          <cell r="G38">
            <v>0.18140000000000001</v>
          </cell>
        </row>
      </sheetData>
      <sheetData sheetId="16">
        <row r="37">
          <cell r="G37">
            <v>439916.31656188663</v>
          </cell>
        </row>
        <row r="38">
          <cell r="G38">
            <v>0.12709999999999999</v>
          </cell>
        </row>
        <row r="39">
          <cell r="G39">
            <v>1.3374790974633699</v>
          </cell>
        </row>
      </sheetData>
      <sheetData sheetId="17">
        <row r="1">
          <cell r="E1">
            <v>0.21071759280393398</v>
          </cell>
        </row>
        <row r="37">
          <cell r="G37">
            <v>194.60848128641373</v>
          </cell>
        </row>
        <row r="38">
          <cell r="G38">
            <v>0.05</v>
          </cell>
        </row>
        <row r="39">
          <cell r="G39">
            <v>1.0001109783410231</v>
          </cell>
        </row>
      </sheetData>
      <sheetData sheetId="18">
        <row r="37">
          <cell r="G37">
            <v>170868.61219999639</v>
          </cell>
        </row>
        <row r="38">
          <cell r="G38">
            <v>7.0400000000000004E-2</v>
          </cell>
        </row>
        <row r="39">
          <cell r="G39">
            <v>1.1072479315914812</v>
          </cell>
        </row>
      </sheetData>
      <sheetData sheetId="19">
        <row r="37">
          <cell r="G37">
            <v>36344.760019051377</v>
          </cell>
        </row>
        <row r="38">
          <cell r="G38">
            <v>5.3699999999999998E-2</v>
          </cell>
        </row>
      </sheetData>
      <sheetData sheetId="20">
        <row r="37">
          <cell r="G37">
            <v>113678.46126241796</v>
          </cell>
        </row>
        <row r="38">
          <cell r="G38">
            <v>6.3299999999999995E-2</v>
          </cell>
        </row>
      </sheetData>
      <sheetData sheetId="21">
        <row r="37">
          <cell r="G37">
            <v>209535.46282167974</v>
          </cell>
        </row>
        <row r="38">
          <cell r="G38">
            <v>7.6899999999999996E-2</v>
          </cell>
        </row>
      </sheetData>
      <sheetData sheetId="22">
        <row r="37">
          <cell r="G37">
            <v>401249.4659402034</v>
          </cell>
        </row>
        <row r="38">
          <cell r="G38">
            <v>0.1135</v>
          </cell>
        </row>
      </sheetData>
      <sheetData sheetId="23">
        <row r="37">
          <cell r="G37">
            <v>497106.46749946487</v>
          </cell>
        </row>
        <row r="38">
          <cell r="G38">
            <v>0.13869999999999999</v>
          </cell>
        </row>
      </sheetData>
      <sheetData sheetId="24">
        <row r="37">
          <cell r="G37">
            <v>226993.93794900787</v>
          </cell>
        </row>
        <row r="38">
          <cell r="G38">
            <v>8.3400000000000002E-2</v>
          </cell>
        </row>
      </sheetData>
      <sheetData sheetId="25">
        <row r="37">
          <cell r="G37">
            <v>266193.20116497495</v>
          </cell>
        </row>
        <row r="38">
          <cell r="G38">
            <v>8.8499999999999995E-2</v>
          </cell>
        </row>
        <row r="39">
          <cell r="G39">
            <v>1.183787629847239</v>
          </cell>
        </row>
      </sheetData>
      <sheetData sheetId="26">
        <row r="37">
          <cell r="G37">
            <v>344591.72759690811</v>
          </cell>
        </row>
        <row r="38">
          <cell r="G38">
            <v>9.8100000000000007E-2</v>
          </cell>
        </row>
        <row r="39">
          <cell r="G39">
            <v>1.2379162826204233</v>
          </cell>
        </row>
      </sheetData>
      <sheetData sheetId="27">
        <row r="37">
          <cell r="G37">
            <v>383790.99081287498</v>
          </cell>
        </row>
        <row r="38">
          <cell r="G38">
            <v>0.1027</v>
          </cell>
        </row>
      </sheetData>
      <sheetData sheetId="28" refreshError="1"/>
      <sheetData sheetId="29">
        <row r="37">
          <cell r="G37">
            <v>267525.29726739298</v>
          </cell>
        </row>
        <row r="38">
          <cell r="G38">
            <v>8.8499999999999995E-2</v>
          </cell>
        </row>
      </sheetData>
      <sheetData sheetId="30">
        <row r="37">
          <cell r="G37">
            <v>286458.88082416705</v>
          </cell>
        </row>
        <row r="38">
          <cell r="G38">
            <v>9.0899999999999995E-2</v>
          </cell>
        </row>
      </sheetData>
      <sheetData sheetId="31">
        <row r="37">
          <cell r="G37">
            <v>324326.04793771578</v>
          </cell>
        </row>
        <row r="38">
          <cell r="G38">
            <v>9.5799999999999996E-2</v>
          </cell>
        </row>
      </sheetData>
      <sheetData sheetId="32">
        <row r="37">
          <cell r="G37">
            <v>343259.63149449008</v>
          </cell>
        </row>
        <row r="38">
          <cell r="G38">
            <v>9.8100000000000007E-2</v>
          </cell>
        </row>
      </sheetData>
      <sheetData sheetId="33">
        <row r="37">
          <cell r="G37">
            <v>284203.76609246631</v>
          </cell>
        </row>
        <row r="38">
          <cell r="G38">
            <v>8.9599999999999999E-2</v>
          </cell>
        </row>
      </sheetData>
      <sheetData sheetId="34">
        <row r="37">
          <cell r="G37">
            <v>294798.11523670377</v>
          </cell>
        </row>
        <row r="38">
          <cell r="G38">
            <v>9.1499999999999998E-2</v>
          </cell>
        </row>
      </sheetData>
      <sheetData sheetId="35">
        <row r="37">
          <cell r="G37">
            <v>315986.81352517928</v>
          </cell>
        </row>
        <row r="38">
          <cell r="G38">
            <v>9.5299999999999996E-2</v>
          </cell>
        </row>
      </sheetData>
      <sheetData sheetId="36">
        <row r="37">
          <cell r="G37">
            <v>326581.16266941652</v>
          </cell>
        </row>
        <row r="38">
          <cell r="G38">
            <v>9.7199999999999995E-2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Vstupy z HDM-4 a EXNAD"/>
      <sheetName val="Slovnik"/>
    </sheetNames>
    <sheetDataSet>
      <sheetData sheetId="0" refreshError="1">
        <row r="40">
          <cell r="D40">
            <v>2010</v>
          </cell>
          <cell r="E40">
            <v>2011</v>
          </cell>
          <cell r="F40">
            <v>2012</v>
          </cell>
          <cell r="G40">
            <v>2013</v>
          </cell>
          <cell r="H40">
            <v>2014</v>
          </cell>
          <cell r="I40">
            <v>2015</v>
          </cell>
          <cell r="J40">
            <v>2016</v>
          </cell>
          <cell r="K40">
            <v>2017</v>
          </cell>
          <cell r="L40">
            <v>2018</v>
          </cell>
          <cell r="M40">
            <v>2019</v>
          </cell>
          <cell r="N40">
            <v>2020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D6">
            <v>25041773.075929139</v>
          </cell>
        </row>
        <row r="10">
          <cell r="D10">
            <v>10603813.669147624</v>
          </cell>
        </row>
        <row r="14">
          <cell r="D14">
            <v>74558710.536282361</v>
          </cell>
        </row>
        <row r="75">
          <cell r="D75">
            <v>25288570.177744795</v>
          </cell>
        </row>
        <row r="79">
          <cell r="D79">
            <v>14634504.369378954</v>
          </cell>
        </row>
        <row r="83">
          <cell r="D83">
            <v>97935929.537598073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">
          <cell r="C4" t="str">
            <v>Celkem PN infrastruktury železnice - úspora</v>
          </cell>
        </row>
        <row r="5">
          <cell r="C5" t="str">
            <v>Celkem PN infrastruktura silnice - úspora</v>
          </cell>
        </row>
        <row r="8">
          <cell r="C8" t="str">
            <v>Celkem PN vozidel železnice - úspora</v>
          </cell>
        </row>
        <row r="12">
          <cell r="C12" t="str">
            <v>Celkem úspory z cestovních dob</v>
          </cell>
        </row>
        <row r="13">
          <cell r="C13" t="str">
            <v>Celkem externality</v>
          </cell>
          <cell r="D13">
            <v>27654706.80336272</v>
          </cell>
        </row>
        <row r="15">
          <cell r="C15" t="str">
            <v>Ostatní přínosy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Vstupy z HDM-4 a EXNAD"/>
      <sheetName val="Slovnik"/>
      <sheetName val="Změnový list"/>
    </sheetNames>
    <sheetDataSet>
      <sheetData sheetId="0">
        <row r="41">
          <cell r="I41">
            <v>3.0000000000000001E-3</v>
          </cell>
          <cell r="J41">
            <v>7.0000000000000001E-3</v>
          </cell>
          <cell r="K41">
            <v>2.5000000000000001E-2</v>
          </cell>
          <cell r="L41">
            <v>2.3E-2</v>
          </cell>
          <cell r="M41">
            <v>1.588888888888889E-2</v>
          </cell>
          <cell r="N41">
            <v>1.588888888888889E-2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SR"/>
      <sheetName val="1A"/>
      <sheetName val="1B"/>
      <sheetName val="1C"/>
      <sheetName val="2A"/>
      <sheetName val="2B"/>
      <sheetName val="2Bhide"/>
      <sheetName val="2C"/>
      <sheetName val="3SO"/>
      <sheetName val="3PS"/>
      <sheetName val="FR"/>
      <sheetName val="Komentář FR"/>
      <sheetName val="PN"/>
      <sheetName val="VZOR 80"/>
      <sheetName val="VZOR 81"/>
      <sheetName val="VZOR 82"/>
      <sheetName val="VZOR 83"/>
      <sheetName val="NAD"/>
      <sheetName val="hide-formáty"/>
      <sheetName val="hidekody"/>
      <sheetName val="hide"/>
      <sheetName val="hideSO"/>
      <sheetName val="hide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3">
          <cell r="B13" t="str">
            <v>PS 01-28-01</v>
          </cell>
          <cell r="C13" t="str">
            <v>ŽST Tišnov, staniční zabezpečovací zařízení</v>
          </cell>
          <cell r="D13" t="str">
            <v>SŽDC</v>
          </cell>
        </row>
        <row r="14">
          <cell r="B14" t="str">
            <v>PS 03-28-01</v>
          </cell>
          <cell r="D14" t="str">
            <v>SŽDC</v>
          </cell>
        </row>
        <row r="15">
          <cell r="B15" t="str">
            <v>PS 04-28-01</v>
          </cell>
          <cell r="D15" t="str">
            <v>SŽDC</v>
          </cell>
        </row>
        <row r="16">
          <cell r="B16" t="str">
            <v>PS 01-14-01</v>
          </cell>
          <cell r="D16" t="str">
            <v>SŽDC</v>
          </cell>
        </row>
        <row r="17">
          <cell r="B17" t="str">
            <v>PS 01-14-02</v>
          </cell>
          <cell r="D17" t="str">
            <v>SŽDC</v>
          </cell>
        </row>
        <row r="18">
          <cell r="B18" t="str">
            <v>PS 03-14-01</v>
          </cell>
          <cell r="D18" t="str">
            <v>SŽDC</v>
          </cell>
        </row>
        <row r="19">
          <cell r="B19" t="str">
            <v>PS 04-14-01</v>
          </cell>
          <cell r="D19" t="str">
            <v>SŽDC</v>
          </cell>
        </row>
        <row r="20">
          <cell r="B20" t="str">
            <v>PS 04-14-02</v>
          </cell>
          <cell r="D20" t="str">
            <v>SŽDC</v>
          </cell>
        </row>
        <row r="21">
          <cell r="B21" t="str">
            <v>PS 01-14-03</v>
          </cell>
          <cell r="D21" t="str">
            <v>SŽDC</v>
          </cell>
        </row>
        <row r="22">
          <cell r="B22" t="str">
            <v>PS 01-14-04</v>
          </cell>
          <cell r="D22" t="str">
            <v>SŽDC</v>
          </cell>
        </row>
        <row r="23">
          <cell r="B23" t="str">
            <v>PS 01-14-05</v>
          </cell>
          <cell r="D23" t="str">
            <v>SŽDC</v>
          </cell>
        </row>
        <row r="24">
          <cell r="B24" t="str">
            <v>PS 01-14-06</v>
          </cell>
          <cell r="D24" t="str">
            <v>SŽDC</v>
          </cell>
        </row>
        <row r="25">
          <cell r="B25" t="str">
            <v>PS 01-14-07</v>
          </cell>
          <cell r="D25" t="str">
            <v>SŽDC</v>
          </cell>
        </row>
        <row r="26">
          <cell r="B26" t="str">
            <v>PS 01-14-08</v>
          </cell>
          <cell r="D26" t="str">
            <v>SŽDC</v>
          </cell>
        </row>
        <row r="27">
          <cell r="B27" t="str">
            <v>PS 01-14-09</v>
          </cell>
          <cell r="D27" t="str">
            <v>SŽDC</v>
          </cell>
        </row>
        <row r="28">
          <cell r="B28" t="str">
            <v>PS 01-14-10</v>
          </cell>
          <cell r="D28" t="str">
            <v>SŽDC</v>
          </cell>
        </row>
        <row r="29">
          <cell r="B29" t="str">
            <v>PS 01-14-11</v>
          </cell>
          <cell r="D29" t="str">
            <v>SŽDC</v>
          </cell>
        </row>
        <row r="30">
          <cell r="B30" t="str">
            <v>PS 01-05-01</v>
          </cell>
          <cell r="D30" t="str">
            <v>SŽDC</v>
          </cell>
        </row>
        <row r="31">
          <cell r="B31" t="str">
            <v>PS 01-13-01</v>
          </cell>
          <cell r="D31" t="str">
            <v>SŽDC</v>
          </cell>
        </row>
        <row r="32">
          <cell r="B32" t="str">
            <v>PS 01-13-02</v>
          </cell>
          <cell r="D32" t="str">
            <v>SŽDC</v>
          </cell>
        </row>
        <row r="33">
          <cell r="B33" t="str">
            <v>PS 01-13-03</v>
          </cell>
          <cell r="D33" t="str">
            <v>SŽDC</v>
          </cell>
        </row>
        <row r="34">
          <cell r="B34" t="str">
            <v>PS 01-09-01</v>
          </cell>
          <cell r="D34" t="str">
            <v>SŽDC</v>
          </cell>
        </row>
        <row r="35">
          <cell r="B35" t="str">
            <v>PS 01-09-02</v>
          </cell>
          <cell r="D35" t="str">
            <v>SŽDC</v>
          </cell>
        </row>
        <row r="36">
          <cell r="B36" t="str">
            <v>PS 01-08-01</v>
          </cell>
          <cell r="D36" t="str">
            <v>SŽDC</v>
          </cell>
        </row>
        <row r="37">
          <cell r="B37" t="str">
            <v>PS 01-08-01.1</v>
          </cell>
          <cell r="D37" t="str">
            <v>SŽDC</v>
          </cell>
        </row>
        <row r="38">
          <cell r="B38" t="str">
            <v>PS 01-07-01</v>
          </cell>
          <cell r="D38" t="str">
            <v>SŽDC</v>
          </cell>
        </row>
        <row r="39">
          <cell r="B39" t="str">
            <v>PS 01-07-01.1</v>
          </cell>
          <cell r="D39" t="str">
            <v>SŽDC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SR"/>
      <sheetName val="1A"/>
      <sheetName val="1B"/>
      <sheetName val="1C"/>
      <sheetName val="2A"/>
      <sheetName val="2B"/>
      <sheetName val="2Bhide"/>
      <sheetName val="2C"/>
      <sheetName val="3SO"/>
      <sheetName val="3PS"/>
      <sheetName val="FR"/>
      <sheetName val="Komentář FR"/>
      <sheetName val="PN"/>
      <sheetName val="VZOR 80"/>
      <sheetName val="VZOR 81"/>
      <sheetName val="VZOR 82"/>
      <sheetName val="VZOR 83"/>
      <sheetName val="NAD"/>
      <sheetName val="hide-formáty"/>
      <sheetName val="hidekody"/>
      <sheetName val="hide"/>
      <sheetName val="hideSO"/>
      <sheetName val="hidePS"/>
    </sheetNames>
    <sheetDataSet>
      <sheetData sheetId="0"/>
      <sheetData sheetId="1"/>
      <sheetData sheetId="2">
        <row r="57">
          <cell r="I57">
            <v>395262</v>
          </cell>
        </row>
        <row r="58">
          <cell r="I58">
            <v>3176658</v>
          </cell>
        </row>
        <row r="59">
          <cell r="I59">
            <v>770000</v>
          </cell>
        </row>
      </sheetData>
      <sheetData sheetId="3"/>
      <sheetData sheetId="4"/>
      <sheetData sheetId="5"/>
      <sheetData sheetId="6"/>
      <sheetData sheetId="7"/>
      <sheetData sheetId="8">
        <row r="14">
          <cell r="G14">
            <v>160989073.19999999</v>
          </cell>
        </row>
        <row r="15">
          <cell r="G15">
            <v>387832585.94999999</v>
          </cell>
        </row>
        <row r="16">
          <cell r="G16">
            <v>337941.35</v>
          </cell>
        </row>
        <row r="17">
          <cell r="G17">
            <v>18428399</v>
          </cell>
        </row>
        <row r="18">
          <cell r="G18">
            <v>4890526.68</v>
          </cell>
        </row>
        <row r="19">
          <cell r="G19">
            <v>1460795</v>
          </cell>
        </row>
        <row r="20">
          <cell r="G20">
            <v>7362551.3099999996</v>
          </cell>
        </row>
        <row r="21">
          <cell r="G21">
            <v>1812318</v>
          </cell>
        </row>
        <row r="22">
          <cell r="G22">
            <v>22697450</v>
          </cell>
        </row>
        <row r="23">
          <cell r="G23">
            <v>21738845.379999999</v>
          </cell>
        </row>
        <row r="24">
          <cell r="G24">
            <v>13247787</v>
          </cell>
        </row>
        <row r="25">
          <cell r="G25">
            <v>18365545.52</v>
          </cell>
        </row>
        <row r="26">
          <cell r="G26">
            <v>38200650.579999998</v>
          </cell>
        </row>
        <row r="27">
          <cell r="G27">
            <v>3333641</v>
          </cell>
        </row>
        <row r="28">
          <cell r="G28">
            <v>518685.5</v>
          </cell>
        </row>
        <row r="29">
          <cell r="G29">
            <v>654810</v>
          </cell>
        </row>
        <row r="30">
          <cell r="G30">
            <v>189963144.46000001</v>
          </cell>
        </row>
        <row r="31">
          <cell r="G31">
            <v>20498075.879999999</v>
          </cell>
        </row>
        <row r="32">
          <cell r="G32">
            <v>45000</v>
          </cell>
        </row>
        <row r="33">
          <cell r="G33">
            <v>45000</v>
          </cell>
        </row>
        <row r="34">
          <cell r="G34">
            <v>9719300</v>
          </cell>
        </row>
        <row r="35">
          <cell r="G35">
            <v>648296</v>
          </cell>
        </row>
        <row r="36">
          <cell r="G36">
            <v>3815411</v>
          </cell>
        </row>
        <row r="38">
          <cell r="G38">
            <v>300827.90000000002</v>
          </cell>
        </row>
        <row r="39">
          <cell r="G39">
            <v>490879.9</v>
          </cell>
        </row>
        <row r="40">
          <cell r="G40">
            <v>164404</v>
          </cell>
        </row>
        <row r="43">
          <cell r="G43">
            <v>1424870</v>
          </cell>
        </row>
        <row r="44">
          <cell r="G44">
            <v>1798580.12</v>
          </cell>
        </row>
        <row r="45">
          <cell r="G45">
            <v>624456.55000000005</v>
          </cell>
        </row>
        <row r="46">
          <cell r="G46">
            <v>46585.56</v>
          </cell>
        </row>
        <row r="47">
          <cell r="G47">
            <v>99608.07</v>
          </cell>
        </row>
        <row r="48">
          <cell r="G48">
            <v>1343672.18</v>
          </cell>
        </row>
        <row r="49">
          <cell r="G49">
            <v>5412790</v>
          </cell>
        </row>
        <row r="50">
          <cell r="G50">
            <v>17162.669999999998</v>
          </cell>
        </row>
        <row r="51">
          <cell r="G51">
            <v>1203965.49</v>
          </cell>
        </row>
        <row r="52">
          <cell r="G52">
            <v>652310.35</v>
          </cell>
        </row>
        <row r="53">
          <cell r="G53">
            <v>383838.5</v>
          </cell>
        </row>
        <row r="54">
          <cell r="G54">
            <v>1790770</v>
          </cell>
        </row>
        <row r="55">
          <cell r="G55">
            <v>1724355.96</v>
          </cell>
        </row>
        <row r="56">
          <cell r="G56">
            <v>41506.79</v>
          </cell>
        </row>
        <row r="57">
          <cell r="G57">
            <v>213120</v>
          </cell>
        </row>
        <row r="58">
          <cell r="G58">
            <v>1305125</v>
          </cell>
        </row>
        <row r="59">
          <cell r="G59">
            <v>412990</v>
          </cell>
        </row>
        <row r="60">
          <cell r="G60">
            <v>30144000</v>
          </cell>
        </row>
        <row r="61">
          <cell r="G61">
            <v>3089579.14</v>
          </cell>
        </row>
        <row r="62">
          <cell r="G62">
            <v>4969201.47</v>
          </cell>
        </row>
        <row r="63">
          <cell r="G63">
            <v>7814454.2400000002</v>
          </cell>
        </row>
        <row r="64">
          <cell r="G64">
            <v>437126</v>
          </cell>
        </row>
        <row r="65">
          <cell r="G65">
            <v>1523896.42</v>
          </cell>
        </row>
        <row r="66">
          <cell r="G66">
            <v>16614907.5</v>
          </cell>
        </row>
        <row r="67">
          <cell r="G67">
            <v>4461243.7300000004</v>
          </cell>
        </row>
        <row r="68">
          <cell r="G68">
            <v>1931036.81</v>
          </cell>
        </row>
        <row r="69">
          <cell r="G69">
            <v>2925914.59</v>
          </cell>
        </row>
        <row r="70">
          <cell r="G70">
            <v>267548.51</v>
          </cell>
        </row>
        <row r="71">
          <cell r="G71">
            <v>1570747.29</v>
          </cell>
        </row>
        <row r="72">
          <cell r="G72">
            <v>304739.68</v>
          </cell>
        </row>
        <row r="73">
          <cell r="G73">
            <v>132113487</v>
          </cell>
        </row>
        <row r="74">
          <cell r="G74">
            <v>1167322</v>
          </cell>
        </row>
        <row r="75">
          <cell r="G75">
            <v>1167322</v>
          </cell>
        </row>
        <row r="76">
          <cell r="G76">
            <v>340000</v>
          </cell>
        </row>
        <row r="77">
          <cell r="G77">
            <v>765000</v>
          </cell>
        </row>
        <row r="78">
          <cell r="G78">
            <v>21361517</v>
          </cell>
        </row>
        <row r="79">
          <cell r="G79">
            <v>14662506</v>
          </cell>
        </row>
        <row r="80">
          <cell r="G80">
            <v>2405921</v>
          </cell>
        </row>
        <row r="81">
          <cell r="G81">
            <v>4193471.5</v>
          </cell>
        </row>
        <row r="82">
          <cell r="G82">
            <v>2184436.5</v>
          </cell>
        </row>
        <row r="83">
          <cell r="G83">
            <v>4391763</v>
          </cell>
        </row>
        <row r="84">
          <cell r="G84">
            <v>10493115</v>
          </cell>
        </row>
        <row r="85">
          <cell r="G85">
            <v>3589711</v>
          </cell>
        </row>
        <row r="86">
          <cell r="G86">
            <v>14644374</v>
          </cell>
        </row>
        <row r="87">
          <cell r="G87">
            <v>8976788</v>
          </cell>
        </row>
        <row r="88">
          <cell r="G88">
            <v>4160644</v>
          </cell>
        </row>
        <row r="89">
          <cell r="G89">
            <v>2357300</v>
          </cell>
        </row>
        <row r="90">
          <cell r="G90">
            <v>457300</v>
          </cell>
        </row>
        <row r="91">
          <cell r="G91">
            <v>140642</v>
          </cell>
        </row>
        <row r="92">
          <cell r="G92">
            <v>221175</v>
          </cell>
        </row>
        <row r="93">
          <cell r="G93">
            <v>217966</v>
          </cell>
        </row>
      </sheetData>
      <sheetData sheetId="9">
        <row r="13">
          <cell r="G13">
            <v>172360355.34999999</v>
          </cell>
        </row>
        <row r="14">
          <cell r="G14">
            <v>37809035.240000002</v>
          </cell>
        </row>
        <row r="15">
          <cell r="G15">
            <v>22686404.18</v>
          </cell>
        </row>
        <row r="16">
          <cell r="G16">
            <v>8160200</v>
          </cell>
        </row>
        <row r="17">
          <cell r="G17">
            <v>3302575.75</v>
          </cell>
        </row>
        <row r="18">
          <cell r="G18">
            <v>15141658</v>
          </cell>
        </row>
        <row r="19">
          <cell r="G19">
            <v>20881629</v>
          </cell>
        </row>
        <row r="20">
          <cell r="G20">
            <v>4922611</v>
          </cell>
        </row>
        <row r="21">
          <cell r="G21">
            <v>1114500</v>
          </cell>
        </row>
        <row r="22">
          <cell r="G22">
            <v>2471212</v>
          </cell>
        </row>
        <row r="23">
          <cell r="G23">
            <v>810000</v>
          </cell>
        </row>
        <row r="24">
          <cell r="G24">
            <v>548900</v>
          </cell>
        </row>
        <row r="25">
          <cell r="G25">
            <v>1872200</v>
          </cell>
        </row>
        <row r="26">
          <cell r="G26">
            <v>21227100</v>
          </cell>
        </row>
        <row r="27">
          <cell r="G27">
            <v>5283900</v>
          </cell>
        </row>
        <row r="28">
          <cell r="G28">
            <v>566890</v>
          </cell>
        </row>
        <row r="29">
          <cell r="G29">
            <v>1913500</v>
          </cell>
        </row>
        <row r="30">
          <cell r="G30">
            <v>5887818</v>
          </cell>
        </row>
        <row r="31">
          <cell r="G31">
            <v>252650</v>
          </cell>
        </row>
        <row r="32">
          <cell r="G32">
            <v>1793000</v>
          </cell>
        </row>
        <row r="33">
          <cell r="G33">
            <v>62450.400000000001</v>
          </cell>
        </row>
        <row r="34">
          <cell r="G34">
            <v>11028985</v>
          </cell>
        </row>
        <row r="35">
          <cell r="G35">
            <v>58244.55</v>
          </cell>
        </row>
        <row r="36">
          <cell r="G36">
            <v>8277890.3600000003</v>
          </cell>
        </row>
        <row r="37">
          <cell r="G37">
            <v>1134846.2</v>
          </cell>
        </row>
        <row r="38">
          <cell r="G38">
            <v>1503000</v>
          </cell>
        </row>
        <row r="39">
          <cell r="G39">
            <v>506000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Vstupy z HDM-4 a EXNAD"/>
      <sheetName val="Slovnik"/>
      <sheetName val="Změnový list"/>
    </sheetNames>
    <sheetDataSet>
      <sheetData sheetId="0">
        <row r="41">
          <cell r="D41">
            <v>1.4999999999999999E-2</v>
          </cell>
          <cell r="E41">
            <v>1.9E-2</v>
          </cell>
          <cell r="F41">
            <v>3.3000000000000002E-2</v>
          </cell>
          <cell r="G41">
            <v>1.4E-2</v>
          </cell>
          <cell r="H41">
            <v>4.0000000000000001E-3</v>
          </cell>
          <cell r="I41">
            <v>3.0000000000000001E-3</v>
          </cell>
          <cell r="J41">
            <v>7.0000000000000001E-3</v>
          </cell>
          <cell r="K41">
            <v>2.5000000000000001E-2</v>
          </cell>
          <cell r="L41">
            <v>2.1000000000000001E-2</v>
          </cell>
          <cell r="M41">
            <v>2.1999999999999999E-2</v>
          </cell>
          <cell r="N41">
            <v>0.02</v>
          </cell>
        </row>
        <row r="57">
          <cell r="D57">
            <v>2.1000000000000001E-2</v>
          </cell>
          <cell r="E57">
            <v>0.02</v>
          </cell>
          <cell r="F57">
            <v>-7.0000000000000001E-3</v>
          </cell>
          <cell r="G57">
            <v>-5.0000000000000001E-3</v>
          </cell>
          <cell r="H57">
            <v>2.7E-2</v>
          </cell>
          <cell r="I57">
            <v>5.3999999999999999E-2</v>
          </cell>
          <cell r="J57">
            <v>2.4E-2</v>
          </cell>
          <cell r="K57">
            <v>4.4999999999999998E-2</v>
          </cell>
          <cell r="L57">
            <v>2.8000000000000001E-2</v>
          </cell>
          <cell r="M57">
            <v>2.9000000000000001E-2</v>
          </cell>
          <cell r="N57">
            <v>0.03</v>
          </cell>
        </row>
        <row r="66">
          <cell r="D66">
            <v>7.0000000000000001E-3</v>
          </cell>
          <cell r="E66">
            <v>6.0000000000000001E-3</v>
          </cell>
          <cell r="F66">
            <v>-8.0000000000000002E-3</v>
          </cell>
          <cell r="G66">
            <v>-1.4999999999999999E-2</v>
          </cell>
          <cell r="H66">
            <v>2.5000000000000001E-2</v>
          </cell>
          <cell r="I66">
            <v>2.9000000000000001E-2</v>
          </cell>
          <cell r="J66">
            <v>0.03</v>
          </cell>
          <cell r="K66">
            <v>4.3999999999999997E-2</v>
          </cell>
          <cell r="L66">
            <v>6.4000000000000001E-2</v>
          </cell>
          <cell r="M66">
            <v>4.7E-2</v>
          </cell>
          <cell r="N66">
            <v>3.4000000000000002E-2</v>
          </cell>
        </row>
      </sheetData>
      <sheetData sheetId="1">
        <row r="5">
          <cell r="F5">
            <v>111769434</v>
          </cell>
        </row>
        <row r="6">
          <cell r="F6">
            <v>14855000</v>
          </cell>
        </row>
        <row r="7">
          <cell r="F7">
            <v>1612494883.2599998</v>
          </cell>
        </row>
        <row r="8">
          <cell r="F8">
            <v>0</v>
          </cell>
        </row>
        <row r="9">
          <cell r="F9">
            <v>117938427.99999999</v>
          </cell>
        </row>
        <row r="10">
          <cell r="F10">
            <v>50938944</v>
          </cell>
        </row>
        <row r="11">
          <cell r="F11">
            <v>1907996689.2599998</v>
          </cell>
        </row>
        <row r="12">
          <cell r="F12">
            <v>160370136.32599998</v>
          </cell>
        </row>
        <row r="13">
          <cell r="F13">
            <v>2068366825.5859995</v>
          </cell>
        </row>
        <row r="14">
          <cell r="F14">
            <v>431237483.37305987</v>
          </cell>
        </row>
        <row r="15">
          <cell r="F15">
            <v>2499604308.9590592</v>
          </cell>
        </row>
      </sheetData>
      <sheetData sheetId="2">
        <row r="3">
          <cell r="D3">
            <v>232855794.77000001</v>
          </cell>
        </row>
        <row r="4">
          <cell r="D4">
            <v>101751586.75</v>
          </cell>
        </row>
        <row r="5">
          <cell r="D5">
            <v>100877397.50999999</v>
          </cell>
        </row>
        <row r="6">
          <cell r="D6">
            <v>393061053.98000002</v>
          </cell>
        </row>
        <row r="7">
          <cell r="D7">
            <v>160989073.19999999</v>
          </cell>
        </row>
        <row r="9">
          <cell r="D9">
            <v>339854299.63</v>
          </cell>
        </row>
        <row r="11">
          <cell r="D11">
            <v>5871706.25</v>
          </cell>
        </row>
        <row r="12">
          <cell r="D12">
            <v>159729248</v>
          </cell>
        </row>
        <row r="13">
          <cell r="D13">
            <v>42947538.789999999</v>
          </cell>
        </row>
        <row r="14">
          <cell r="D14">
            <v>48465559.530000009</v>
          </cell>
        </row>
        <row r="15">
          <cell r="D15">
            <v>17298104.850000001</v>
          </cell>
        </row>
      </sheetData>
      <sheetData sheetId="3"/>
      <sheetData sheetId="4"/>
      <sheetData sheetId="5">
        <row r="82">
          <cell r="E82">
            <v>600.34</v>
          </cell>
          <cell r="F82">
            <v>667.16021374849709</v>
          </cell>
          <cell r="K82">
            <v>0.1</v>
          </cell>
          <cell r="L82">
            <v>0.1</v>
          </cell>
        </row>
        <row r="84">
          <cell r="E84">
            <v>233.92</v>
          </cell>
          <cell r="F84">
            <v>257.73331458193792</v>
          </cell>
          <cell r="K84">
            <v>0.45</v>
          </cell>
        </row>
        <row r="86">
          <cell r="E86">
            <v>300.23</v>
          </cell>
          <cell r="F86">
            <v>330.79374588293109</v>
          </cell>
          <cell r="L86">
            <v>0.45</v>
          </cell>
        </row>
        <row r="88">
          <cell r="E88">
            <v>196.08</v>
          </cell>
          <cell r="F88">
            <v>216.04116075250681</v>
          </cell>
          <cell r="K88">
            <v>0.45</v>
          </cell>
        </row>
        <row r="90">
          <cell r="E90">
            <v>251.41</v>
          </cell>
          <cell r="F90">
            <v>277.00381591589019</v>
          </cell>
          <cell r="L90">
            <v>0.45</v>
          </cell>
        </row>
        <row r="93">
          <cell r="E93">
            <v>35.340000000000003</v>
          </cell>
          <cell r="F93">
            <v>39.273481616870249</v>
          </cell>
        </row>
      </sheetData>
      <sheetData sheetId="6">
        <row r="6">
          <cell r="E6">
            <v>725748.52967644855</v>
          </cell>
          <cell r="F6">
            <v>403150.61722707155</v>
          </cell>
          <cell r="G6">
            <v>749925.32541849196</v>
          </cell>
          <cell r="H6">
            <v>762314.09179440537</v>
          </cell>
          <cell r="I6">
            <v>774907.52059084899</v>
          </cell>
          <cell r="J6">
            <v>787708.99283101002</v>
          </cell>
          <cell r="K6">
            <v>800721.94539257837</v>
          </cell>
          <cell r="L6">
            <v>813949.87193046382</v>
          </cell>
          <cell r="M6">
            <v>827396.32381475507</v>
          </cell>
          <cell r="N6">
            <v>827543.08025673614</v>
          </cell>
          <cell r="O6">
            <v>854959.30341528554</v>
          </cell>
          <cell r="P6">
            <v>869083.2311077062</v>
          </cell>
          <cell r="Q6">
            <v>883440.48608560557</v>
          </cell>
          <cell r="R6">
            <v>898034.92291573994</v>
          </cell>
          <cell r="S6">
            <v>912870.45984230796</v>
          </cell>
        </row>
        <row r="10">
          <cell r="E10">
            <v>336419.93452691851</v>
          </cell>
          <cell r="F10">
            <v>341977.59184530325</v>
          </cell>
          <cell r="G10">
            <v>249384.63119272594</v>
          </cell>
          <cell r="H10">
            <v>253504.46530002978</v>
          </cell>
          <cell r="I10">
            <v>257692.3590667863</v>
          </cell>
          <cell r="J10">
            <v>261949.43683856964</v>
          </cell>
          <cell r="K10">
            <v>250138.85113907361</v>
          </cell>
          <cell r="L10">
            <v>246068.84996118495</v>
          </cell>
          <cell r="M10">
            <v>233458.31353837412</v>
          </cell>
          <cell r="N10">
            <v>228839.50756095571</v>
          </cell>
          <cell r="O10">
            <v>215388.82983876174</v>
          </cell>
          <cell r="P10">
            <v>227704.93544000603</v>
          </cell>
          <cell r="Q10">
            <v>240369.18331860864</v>
          </cell>
          <cell r="R10">
            <v>244340.08222703208</v>
          </cell>
          <cell r="S10">
            <v>266774.84559915762</v>
          </cell>
        </row>
        <row r="14">
          <cell r="E14">
            <v>0</v>
          </cell>
          <cell r="F14">
            <v>9031215.2908501681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1976627.8965552244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40">
          <cell r="E40">
            <v>725748.52967644855</v>
          </cell>
          <cell r="F40">
            <v>714298.70587919676</v>
          </cell>
          <cell r="G40">
            <v>742936.56269197213</v>
          </cell>
          <cell r="H40">
            <v>762314.09179440537</v>
          </cell>
          <cell r="I40">
            <v>774907.52059084899</v>
          </cell>
          <cell r="J40">
            <v>787708.99283101002</v>
          </cell>
          <cell r="K40">
            <v>800721.94539257837</v>
          </cell>
          <cell r="L40">
            <v>795436.01970351464</v>
          </cell>
          <cell r="M40">
            <v>827396.32381475507</v>
          </cell>
          <cell r="N40">
            <v>841064.91108417499</v>
          </cell>
          <cell r="O40">
            <v>854959.30341528554</v>
          </cell>
          <cell r="P40">
            <v>869083.2311077062</v>
          </cell>
          <cell r="Q40">
            <v>883440.48608560557</v>
          </cell>
          <cell r="R40">
            <v>848874.15120892297</v>
          </cell>
          <cell r="S40">
            <v>912870.45984230796</v>
          </cell>
        </row>
        <row r="44">
          <cell r="E44">
            <v>219404.30512625122</v>
          </cell>
          <cell r="F44">
            <v>223028.86424693692</v>
          </cell>
          <cell r="G44">
            <v>234270.41112043956</v>
          </cell>
          <cell r="H44">
            <v>245822.51180608955</v>
          </cell>
          <cell r="I44">
            <v>257692.3590667863</v>
          </cell>
          <cell r="J44">
            <v>269887.2985609505</v>
          </cell>
          <cell r="K44">
            <v>282414.8319312121</v>
          </cell>
          <cell r="L44">
            <v>295282.61995342193</v>
          </cell>
          <cell r="M44">
            <v>308498.48574713728</v>
          </cell>
          <cell r="N44">
            <v>313594.88073168002</v>
          </cell>
          <cell r="O44">
            <v>327391.02135491779</v>
          </cell>
          <cell r="P44">
            <v>341557.40316000907</v>
          </cell>
          <cell r="Q44">
            <v>356102.49380534602</v>
          </cell>
          <cell r="R44">
            <v>361985.30700301041</v>
          </cell>
          <cell r="S44">
            <v>386363.56948843523</v>
          </cell>
        </row>
        <row r="48">
          <cell r="E48">
            <v>0</v>
          </cell>
          <cell r="F48">
            <v>3852819.2913836902</v>
          </cell>
          <cell r="G48">
            <v>432956.77974564739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2830185.9319325713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7306565.5480800141</v>
          </cell>
          <cell r="S48">
            <v>0</v>
          </cell>
        </row>
        <row r="75">
          <cell r="E75">
            <v>725748.52967644855</v>
          </cell>
          <cell r="F75">
            <v>697366.02290835755</v>
          </cell>
          <cell r="G75">
            <v>744467.67857626325</v>
          </cell>
          <cell r="H75">
            <v>754386.27492518164</v>
          </cell>
          <cell r="I75">
            <v>760133.64656377747</v>
          </cell>
          <cell r="J75">
            <v>765567.20538012183</v>
          </cell>
          <cell r="K75">
            <v>800721.94539257837</v>
          </cell>
          <cell r="L75">
            <v>813949.87193046382</v>
          </cell>
          <cell r="M75">
            <v>815477.75878451974</v>
          </cell>
          <cell r="N75">
            <v>839024.60338041524</v>
          </cell>
          <cell r="O75">
            <v>834665.1494730867</v>
          </cell>
          <cell r="P75">
            <v>857815.75871261687</v>
          </cell>
          <cell r="Q75">
            <v>882583.24407927797</v>
          </cell>
          <cell r="R75">
            <v>898034.92291573994</v>
          </cell>
          <cell r="S75">
            <v>909858.93883421342</v>
          </cell>
        </row>
        <row r="79">
          <cell r="E79">
            <v>336419.93452691851</v>
          </cell>
          <cell r="F79">
            <v>341977.59184530325</v>
          </cell>
          <cell r="G79">
            <v>347627.06166258769</v>
          </cell>
          <cell r="H79">
            <v>353369.86072125367</v>
          </cell>
          <cell r="I79">
            <v>359207.53082036879</v>
          </cell>
          <cell r="J79">
            <v>365141.63922952133</v>
          </cell>
          <cell r="K79">
            <v>346966.79351548915</v>
          </cell>
          <cell r="L79">
            <v>336294.09494695277</v>
          </cell>
          <cell r="M79">
            <v>325174.07957130688</v>
          </cell>
          <cell r="N79">
            <v>313594.88073168002</v>
          </cell>
          <cell r="O79">
            <v>301544.36177426641</v>
          </cell>
          <cell r="P79">
            <v>315283.75676308526</v>
          </cell>
          <cell r="Q79">
            <v>329394.80676994513</v>
          </cell>
          <cell r="R79">
            <v>343886.04165285989</v>
          </cell>
          <cell r="S79">
            <v>367965.30427470017</v>
          </cell>
        </row>
        <row r="83">
          <cell r="E83">
            <v>0</v>
          </cell>
          <cell r="F83">
            <v>7267033.3606082518</v>
          </cell>
          <cell r="G83">
            <v>478061.3484389059</v>
          </cell>
          <cell r="H83">
            <v>30253.645776724909</v>
          </cell>
          <cell r="I83">
            <v>213867.81870964842</v>
          </cell>
          <cell r="J83">
            <v>3197557.1014708728</v>
          </cell>
          <cell r="K83">
            <v>0</v>
          </cell>
          <cell r="L83">
            <v>0</v>
          </cell>
          <cell r="M83">
            <v>1816012.7039060679</v>
          </cell>
          <cell r="N83">
            <v>178720.29471430831</v>
          </cell>
          <cell r="O83">
            <v>1960926.5755264051</v>
          </cell>
          <cell r="P83">
            <v>78323.93600167855</v>
          </cell>
          <cell r="Q83">
            <v>75089.920863418098</v>
          </cell>
          <cell r="R83">
            <v>0</v>
          </cell>
          <cell r="S83">
            <v>403067.76715720195</v>
          </cell>
        </row>
        <row r="109">
          <cell r="E109">
            <v>710430.98193396267</v>
          </cell>
          <cell r="F109">
            <v>722907.06056497025</v>
          </cell>
          <cell r="G109">
            <v>745245.93876448169</v>
          </cell>
          <cell r="H109">
            <v>744609.18899993715</v>
          </cell>
          <cell r="I109">
            <v>770932.07923695724</v>
          </cell>
          <cell r="J109">
            <v>781833.60799599357</v>
          </cell>
          <cell r="K109">
            <v>795453.55358809722</v>
          </cell>
          <cell r="L109">
            <v>798949.33413981285</v>
          </cell>
          <cell r="M109">
            <v>825389.17422226339</v>
          </cell>
          <cell r="N109">
            <v>837566.19124573679</v>
          </cell>
          <cell r="O109">
            <v>853714.89526307012</v>
          </cell>
          <cell r="P109">
            <v>860022.94558014302</v>
          </cell>
          <cell r="Q109">
            <v>882274.71297746582</v>
          </cell>
          <cell r="R109">
            <v>867437.60997306986</v>
          </cell>
          <cell r="S109">
            <v>912870.45984230796</v>
          </cell>
        </row>
        <row r="113">
          <cell r="E113">
            <v>299852.55033921002</v>
          </cell>
          <cell r="F113">
            <v>312240.40994571167</v>
          </cell>
          <cell r="G113">
            <v>324955.73155415809</v>
          </cell>
          <cell r="H113">
            <v>345687.90722731332</v>
          </cell>
          <cell r="I113">
            <v>359207.53082036879</v>
          </cell>
          <cell r="J113">
            <v>373079.50095190224</v>
          </cell>
          <cell r="K113">
            <v>387311.76950566226</v>
          </cell>
          <cell r="L113">
            <v>410114.74993530824</v>
          </cell>
          <cell r="M113">
            <v>425227.64251632435</v>
          </cell>
          <cell r="N113">
            <v>440727.94048776652</v>
          </cell>
          <cell r="O113">
            <v>456624.31925817486</v>
          </cell>
          <cell r="P113">
            <v>481683.5172769358</v>
          </cell>
          <cell r="Q113">
            <v>498543.49132748443</v>
          </cell>
          <cell r="R113">
            <v>515829.06247928995</v>
          </cell>
          <cell r="S113">
            <v>533549.69119831524</v>
          </cell>
        </row>
        <row r="117">
          <cell r="E117">
            <v>3091013.696137134</v>
          </cell>
          <cell r="F117">
            <v>656334.46381149616</v>
          </cell>
          <cell r="G117">
            <v>17857.186741072423</v>
          </cell>
          <cell r="H117">
            <v>222493.59885848869</v>
          </cell>
          <cell r="I117">
            <v>78166.302842669829</v>
          </cell>
          <cell r="J117">
            <v>360308.71086209069</v>
          </cell>
          <cell r="K117">
            <v>385217.80150447733</v>
          </cell>
          <cell r="L117">
            <v>2608077.7550219279</v>
          </cell>
          <cell r="M117">
            <v>175815.81741068378</v>
          </cell>
          <cell r="N117">
            <v>13351.598858826183</v>
          </cell>
          <cell r="O117">
            <v>109003.65238979318</v>
          </cell>
          <cell r="P117">
            <v>360240.37612454552</v>
          </cell>
          <cell r="Q117">
            <v>156029.3162314879</v>
          </cell>
          <cell r="R117">
            <v>6230290.6685367767</v>
          </cell>
          <cell r="S117">
            <v>0</v>
          </cell>
        </row>
        <row r="220">
          <cell r="D220">
            <v>2877</v>
          </cell>
          <cell r="E220">
            <v>504724</v>
          </cell>
          <cell r="F220">
            <v>451145</v>
          </cell>
        </row>
        <row r="221">
          <cell r="H221">
            <v>2187533</v>
          </cell>
          <cell r="I221">
            <v>875725</v>
          </cell>
        </row>
        <row r="224">
          <cell r="D224">
            <v>2996.0763103641716</v>
          </cell>
          <cell r="E224">
            <v>525424.62473556411</v>
          </cell>
          <cell r="F224">
            <v>469648.26421916421</v>
          </cell>
        </row>
        <row r="225">
          <cell r="H225">
            <v>2277248.3143199645</v>
          </cell>
          <cell r="I225">
            <v>911640.96934716415</v>
          </cell>
        </row>
        <row r="235">
          <cell r="E235">
            <v>556</v>
          </cell>
          <cell r="F235">
            <v>5.0199999999999996</v>
          </cell>
          <cell r="G235">
            <v>5.3999999999999999E-2</v>
          </cell>
          <cell r="H235">
            <v>0.10299999999999999</v>
          </cell>
          <cell r="I235">
            <v>0.99</v>
          </cell>
        </row>
        <row r="237">
          <cell r="E237">
            <v>1658.71</v>
          </cell>
          <cell r="F237">
            <v>0.64780000000000004</v>
          </cell>
          <cell r="G237">
            <v>5.1999999999999998E-3</v>
          </cell>
          <cell r="H237">
            <v>1.0755999999999999</v>
          </cell>
          <cell r="I237">
            <v>6.3414000000000001</v>
          </cell>
        </row>
        <row r="238">
          <cell r="E238">
            <v>77.790000000000006</v>
          </cell>
          <cell r="F238">
            <v>3.04E-2</v>
          </cell>
          <cell r="G238">
            <v>2.0000000000000001E-4</v>
          </cell>
          <cell r="H238">
            <v>5.04E-2</v>
          </cell>
          <cell r="I238">
            <v>0.2974</v>
          </cell>
        </row>
        <row r="244">
          <cell r="E244">
            <v>523.19000000000005</v>
          </cell>
          <cell r="F244">
            <v>0.2041</v>
          </cell>
          <cell r="G244">
            <v>1.6000000000000001E-3</v>
          </cell>
          <cell r="H244">
            <v>0.33889999999999998</v>
          </cell>
          <cell r="I244">
            <v>4.3494999999999999</v>
          </cell>
        </row>
      </sheetData>
      <sheetData sheetId="7"/>
      <sheetData sheetId="8">
        <row r="86">
          <cell r="E86">
            <v>58394.471999999994</v>
          </cell>
        </row>
        <row r="87">
          <cell r="E87">
            <v>348.84</v>
          </cell>
        </row>
        <row r="88">
          <cell r="E88">
            <v>19227.936000000002</v>
          </cell>
        </row>
        <row r="89">
          <cell r="E89">
            <v>3370.9040000000005</v>
          </cell>
        </row>
        <row r="90">
          <cell r="E90">
            <v>75.468000000000018</v>
          </cell>
        </row>
        <row r="91">
          <cell r="E91">
            <v>7074.7950000000001</v>
          </cell>
        </row>
        <row r="92">
          <cell r="E92">
            <v>4548.0824999999995</v>
          </cell>
        </row>
      </sheetData>
      <sheetData sheetId="9"/>
      <sheetData sheetId="10">
        <row r="29">
          <cell r="E29">
            <v>-537563756.75189018</v>
          </cell>
        </row>
      </sheetData>
      <sheetData sheetId="11"/>
      <sheetData sheetId="12">
        <row r="4">
          <cell r="D4">
            <v>925519802.77521753</v>
          </cell>
        </row>
        <row r="5">
          <cell r="D5">
            <v>104152.22732235503</v>
          </cell>
        </row>
        <row r="8">
          <cell r="D8">
            <v>381617874.64639157</v>
          </cell>
        </row>
        <row r="12">
          <cell r="D12">
            <v>778686529.85838604</v>
          </cell>
        </row>
        <row r="13">
          <cell r="D13">
            <v>7879843.4015348358</v>
          </cell>
          <cell r="F13">
            <v>0</v>
          </cell>
          <cell r="G13">
            <v>-1469966.5245606303</v>
          </cell>
          <cell r="H13">
            <v>570846.13206653891</v>
          </cell>
          <cell r="I13">
            <v>122191.22432872507</v>
          </cell>
          <cell r="J13">
            <v>300609.11643615941</v>
          </cell>
          <cell r="K13">
            <v>3278607.5164109361</v>
          </cell>
          <cell r="L13">
            <v>96827.942376415536</v>
          </cell>
          <cell r="M13">
            <v>90225.244985767815</v>
          </cell>
          <cell r="N13">
            <v>1895809.9049087653</v>
          </cell>
          <cell r="O13">
            <v>-1701670.7055465125</v>
          </cell>
          <cell r="P13">
            <v>2026787.9535197113</v>
          </cell>
          <cell r="Q13">
            <v>154635.28492966847</v>
          </cell>
          <cell r="R13">
            <v>163258.30230842702</v>
          </cell>
          <cell r="S13">
            <v>99545.959425827808</v>
          </cell>
          <cell r="T13">
            <v>501246.7048246499</v>
          </cell>
        </row>
        <row r="15">
          <cell r="D15">
            <v>123534511.75799999</v>
          </cell>
        </row>
        <row r="16">
          <cell r="D16">
            <v>2217342714.6668525</v>
          </cell>
        </row>
        <row r="17">
          <cell r="D17">
            <v>1528305348.09726</v>
          </cell>
        </row>
        <row r="18">
          <cell r="D18">
            <v>-424519088.24343687</v>
          </cell>
        </row>
        <row r="19">
          <cell r="D19">
            <v>1103786259.8538232</v>
          </cell>
        </row>
        <row r="20">
          <cell r="D20">
            <v>1113556454.8130298</v>
          </cell>
        </row>
        <row r="21">
          <cell r="D21">
            <v>0.05</v>
          </cell>
        </row>
        <row r="22">
          <cell r="D22">
            <v>305392464.38094109</v>
          </cell>
        </row>
        <row r="35">
          <cell r="F35">
            <v>3156144.3936076066</v>
          </cell>
          <cell r="G35">
            <v>-3098664.9271876458</v>
          </cell>
          <cell r="H35">
            <v>-322104.89649834682</v>
          </cell>
          <cell r="I35">
            <v>304654.09148524428</v>
          </cell>
          <cell r="J35">
            <v>175706.03324236063</v>
          </cell>
          <cell r="K35">
            <v>457625.52841802599</v>
          </cell>
          <cell r="L35">
            <v>484846.34727444639</v>
          </cell>
          <cell r="M35">
            <v>-103762.7324924593</v>
          </cell>
          <cell r="N35">
            <v>290537.82458737923</v>
          </cell>
          <cell r="O35">
            <v>136985.9387764745</v>
          </cell>
          <cell r="P35">
            <v>236992.54214083485</v>
          </cell>
          <cell r="Q35">
            <v>491306.20471390901</v>
          </cell>
          <cell r="R35">
            <v>297304.54064548656</v>
          </cell>
          <cell r="S35">
            <v>-903867.66530281084</v>
          </cell>
          <cell r="T35">
            <v>147186.12170988001</v>
          </cell>
        </row>
        <row r="46">
          <cell r="F46">
            <v>9.3299999999999994E-2</v>
          </cell>
        </row>
        <row r="47">
          <cell r="F47">
            <v>305392464.38094109</v>
          </cell>
        </row>
        <row r="48">
          <cell r="F48">
            <v>1.2108519562338311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F353"/>
  <sheetViews>
    <sheetView topLeftCell="EW317" zoomScale="130" zoomScaleNormal="130" workbookViewId="0">
      <selection activeCell="EX319" sqref="EX319:FH335"/>
    </sheetView>
  </sheetViews>
  <sheetFormatPr defaultColWidth="9.109375" defaultRowHeight="13.2" x14ac:dyDescent="0.25"/>
  <cols>
    <col min="1" max="3" width="9.6640625" style="1" customWidth="1"/>
    <col min="4" max="4" width="9.6640625" style="424" customWidth="1"/>
    <col min="5" max="5" width="9.6640625" style="1" customWidth="1"/>
    <col min="6" max="6" width="9.6640625" style="424" customWidth="1"/>
    <col min="7" max="7" width="9.6640625" style="1" customWidth="1"/>
    <col min="8" max="8" width="24" style="1" customWidth="1"/>
    <col min="9" max="9" width="15.6640625" style="1" customWidth="1"/>
    <col min="10" max="12" width="14.6640625" style="2" customWidth="1"/>
    <col min="13" max="13" width="15.6640625" style="2" customWidth="1"/>
    <col min="14" max="16" width="15.6640625" style="2" hidden="1" customWidth="1"/>
    <col min="17" max="23" width="15.6640625" style="2" customWidth="1"/>
    <col min="24" max="26" width="17.5546875" style="2" customWidth="1"/>
    <col min="27" max="29" width="10.6640625" style="2" customWidth="1"/>
    <col min="30" max="30" width="18.33203125" style="2" bestFit="1" customWidth="1"/>
    <col min="31" max="31" width="18" style="2" customWidth="1"/>
    <col min="32" max="32" width="13" style="2" customWidth="1"/>
    <col min="33" max="43" width="8.88671875" style="2" customWidth="1"/>
    <col min="44" max="49" width="10.88671875" style="2" customWidth="1"/>
    <col min="50" max="51" width="9.109375" style="2"/>
    <col min="52" max="52" width="24.109375" style="2" customWidth="1"/>
    <col min="53" max="54" width="9.6640625" style="2" customWidth="1"/>
    <col min="55" max="57" width="9.109375" style="2" hidden="1" customWidth="1"/>
    <col min="58" max="67" width="9.6640625" style="2" bestFit="1" customWidth="1"/>
    <col min="68" max="68" width="9.109375" style="2" customWidth="1"/>
    <col min="69" max="69" width="9.109375" style="2"/>
    <col min="70" max="75" width="9.6640625" style="2" customWidth="1"/>
    <col min="76" max="76" width="22.5546875" style="2" customWidth="1"/>
    <col min="77" max="78" width="19" style="2" bestFit="1" customWidth="1"/>
    <col min="79" max="80" width="18" style="2" bestFit="1" customWidth="1"/>
    <col min="81" max="82" width="19" style="2" bestFit="1" customWidth="1"/>
    <col min="83" max="83" width="9.6640625" style="2" customWidth="1"/>
    <col min="84" max="84" width="17.33203125" style="2" bestFit="1" customWidth="1"/>
    <col min="85" max="85" width="9.109375" style="2"/>
    <col min="86" max="86" width="28.88671875" style="2" customWidth="1"/>
    <col min="87" max="87" width="22.33203125" style="2" customWidth="1"/>
    <col min="88" max="88" width="18.109375" style="2" bestFit="1" customWidth="1"/>
    <col min="89" max="89" width="13.109375" style="2" customWidth="1"/>
    <col min="90" max="90" width="13.88671875" style="2" bestFit="1" customWidth="1"/>
    <col min="91" max="91" width="9.109375" style="2"/>
    <col min="92" max="92" width="17.6640625" style="2" customWidth="1"/>
    <col min="93" max="93" width="9.6640625" style="2" customWidth="1"/>
    <col min="94" max="98" width="13.6640625" style="2" customWidth="1"/>
    <col min="99" max="99" width="10.109375" style="2" customWidth="1"/>
    <col min="100" max="100" width="9.109375" style="2"/>
    <col min="101" max="101" width="25.5546875" style="2" customWidth="1"/>
    <col min="102" max="104" width="9.109375" style="2"/>
    <col min="105" max="105" width="23" style="2" customWidth="1"/>
    <col min="106" max="106" width="9.88671875" style="2" customWidth="1"/>
    <col min="107" max="109" width="9.109375" style="2"/>
    <col min="110" max="110" width="11" style="2" customWidth="1"/>
    <col min="111" max="111" width="13.5546875" style="2" customWidth="1"/>
    <col min="112" max="112" width="19" style="2" customWidth="1"/>
    <col min="113" max="113" width="14.33203125" style="2" bestFit="1" customWidth="1"/>
    <col min="114" max="114" width="16.88671875" style="2" bestFit="1" customWidth="1"/>
    <col min="115" max="115" width="17" style="2" customWidth="1"/>
    <col min="116" max="116" width="15.33203125" style="2" bestFit="1" customWidth="1"/>
    <col min="117" max="117" width="34.44140625" style="2" customWidth="1"/>
    <col min="118" max="118" width="25.109375" style="2" customWidth="1"/>
    <col min="119" max="120" width="9.109375" style="2"/>
    <col min="121" max="121" width="27" style="2" customWidth="1"/>
    <col min="122" max="122" width="28" style="2" customWidth="1"/>
    <col min="123" max="123" width="9.109375" style="2"/>
    <col min="124" max="124" width="13.6640625" style="2" bestFit="1" customWidth="1"/>
    <col min="125" max="125" width="14.44140625" style="2" bestFit="1" customWidth="1"/>
    <col min="126" max="126" width="14.33203125" style="2" bestFit="1" customWidth="1"/>
    <col min="127" max="128" width="13.6640625" style="2" bestFit="1" customWidth="1"/>
    <col min="129" max="129" width="13.6640625" style="2" customWidth="1"/>
    <col min="130" max="134" width="9.109375" style="2"/>
    <col min="135" max="135" width="12.5546875" style="2" customWidth="1"/>
    <col min="136" max="153" width="9.109375" style="2"/>
    <col min="154" max="154" width="25.6640625" style="2" bestFit="1" customWidth="1"/>
    <col min="155" max="164" width="10.6640625" style="2" customWidth="1"/>
    <col min="165" max="169" width="10.33203125" style="2" customWidth="1"/>
    <col min="170" max="170" width="12.109375" style="2" customWidth="1"/>
    <col min="171" max="171" width="11.109375" style="2" bestFit="1" customWidth="1"/>
    <col min="172" max="180" width="11.6640625" style="2" customWidth="1"/>
    <col min="181" max="181" width="11.6640625" style="2" hidden="1" customWidth="1"/>
    <col min="182" max="182" width="11.6640625" style="2" customWidth="1"/>
    <col min="183" max="186" width="12.5546875" style="2" customWidth="1"/>
    <col min="187" max="187" width="11.6640625" style="2" customWidth="1"/>
    <col min="188" max="16384" width="9.109375" style="2"/>
  </cols>
  <sheetData>
    <row r="1" spans="1:88" ht="13.8" thickBot="1" x14ac:dyDescent="0.3"/>
    <row r="2" spans="1:88" ht="39.9" customHeight="1" thickBot="1" x14ac:dyDescent="0.3">
      <c r="A2" s="1164" t="s">
        <v>139</v>
      </c>
      <c r="B2" s="1164"/>
      <c r="C2" s="1164"/>
      <c r="D2" s="1164"/>
      <c r="E2" s="1164"/>
      <c r="F2" s="1164"/>
      <c r="G2" s="1164"/>
      <c r="H2" s="25"/>
      <c r="I2" s="25"/>
      <c r="J2" s="107"/>
      <c r="K2" s="107"/>
      <c r="L2" s="107"/>
      <c r="BR2" s="2" t="s">
        <v>389</v>
      </c>
      <c r="BS2" s="12" t="s">
        <v>386</v>
      </c>
      <c r="BT2" s="2" t="s">
        <v>385</v>
      </c>
      <c r="BU2" s="12" t="s">
        <v>387</v>
      </c>
      <c r="BV2" s="2" t="s">
        <v>388</v>
      </c>
      <c r="BX2" s="711"/>
      <c r="BY2" s="712" t="s">
        <v>920</v>
      </c>
      <c r="BZ2" s="713" t="s">
        <v>921</v>
      </c>
      <c r="CA2" s="1042" t="s">
        <v>922</v>
      </c>
      <c r="CB2" s="1042" t="s">
        <v>923</v>
      </c>
      <c r="CC2" s="1042" t="s">
        <v>924</v>
      </c>
      <c r="CD2" s="717" t="s">
        <v>925</v>
      </c>
      <c r="CE2" s="2" t="s">
        <v>415</v>
      </c>
      <c r="CF2" s="2" t="s">
        <v>416</v>
      </c>
    </row>
    <row r="3" spans="1:88" ht="20.100000000000001" customHeight="1" thickBot="1" x14ac:dyDescent="0.35">
      <c r="A3" s="1166" t="s">
        <v>235</v>
      </c>
      <c r="B3" s="1167"/>
      <c r="C3" s="1167"/>
      <c r="D3" s="1167"/>
      <c r="E3" s="1167"/>
      <c r="F3" s="1167"/>
      <c r="G3" s="1168"/>
      <c r="H3" s="25"/>
      <c r="I3" s="25"/>
      <c r="J3" s="107"/>
      <c r="K3" s="107"/>
      <c r="L3" s="107"/>
      <c r="BQ3" s="467">
        <v>250</v>
      </c>
      <c r="BR3" s="468" t="s">
        <v>375</v>
      </c>
      <c r="BT3" s="471">
        <f>2.195/60*(List1!$C$27+List1!$F$27)</f>
        <v>890.21883333333324</v>
      </c>
      <c r="BX3" s="1129" t="s">
        <v>555</v>
      </c>
      <c r="BY3" s="1187">
        <f>(2.845/60*23782*3847.59)+(2.1*23782*30.83)</f>
        <v>5878503.5494350009</v>
      </c>
      <c r="BZ3" s="1131">
        <f>BY3</f>
        <v>5878503.5494350009</v>
      </c>
      <c r="CA3" s="1131">
        <f>2.845/60*23782*3847.59+2.1*23782*30.83</f>
        <v>5878503.5494350009</v>
      </c>
      <c r="CB3" s="1131">
        <f>2.195/60*23782*3847.59+2.1*23782*30.83</f>
        <v>4887216.874485</v>
      </c>
      <c r="CC3" s="1131">
        <f>CA3</f>
        <v>5878503.5494350009</v>
      </c>
      <c r="CD3" s="1133">
        <f>CB3</f>
        <v>4887216.874485</v>
      </c>
      <c r="CE3" s="1121">
        <f>CC3-CD3</f>
        <v>991286.67495000083</v>
      </c>
      <c r="CF3" s="1122">
        <f>SUM(CE3:CE14)</f>
        <v>1855741.8899533371</v>
      </c>
      <c r="CH3" s="1121">
        <f>(1060*$CK$138)+(46931*$CL$138)</f>
        <v>5389485.4943488007</v>
      </c>
      <c r="CI3" s="1121">
        <f>(1060*3764.56)+(46931*24.14)</f>
        <v>5123347.9400000004</v>
      </c>
      <c r="CJ3" s="1121">
        <f>(2.845/60*22348*3764.56)+(2.1*22348*24.14)</f>
        <v>5122092.0232266672</v>
      </c>
    </row>
    <row r="4" spans="1:88" ht="20.100000000000001" customHeight="1" thickBot="1" x14ac:dyDescent="0.35">
      <c r="A4" s="928" t="s">
        <v>0</v>
      </c>
      <c r="B4" s="963">
        <v>2019</v>
      </c>
      <c r="C4" s="964" t="s">
        <v>330</v>
      </c>
      <c r="D4" s="965" t="s">
        <v>865</v>
      </c>
      <c r="E4" s="963">
        <v>2019</v>
      </c>
      <c r="F4" s="964" t="s">
        <v>330</v>
      </c>
      <c r="G4" s="965" t="s">
        <v>865</v>
      </c>
      <c r="H4" s="25"/>
      <c r="I4" s="958" t="s">
        <v>291</v>
      </c>
      <c r="J4" s="959"/>
      <c r="K4" s="107"/>
      <c r="L4" s="958" t="s">
        <v>344</v>
      </c>
      <c r="M4" s="959"/>
      <c r="O4" s="332" t="s">
        <v>357</v>
      </c>
      <c r="P4" s="107"/>
      <c r="R4" s="961" t="s">
        <v>861</v>
      </c>
      <c r="BQ4" s="467">
        <v>250</v>
      </c>
      <c r="BR4" s="469" t="s">
        <v>376</v>
      </c>
      <c r="BS4" s="2">
        <v>2.1</v>
      </c>
      <c r="BT4" s="472">
        <f>2.1*(List1!$C$27+List1!$F$27)</f>
        <v>51101.4</v>
      </c>
      <c r="BU4" s="473">
        <f>List2!K167+List2!K168/2</f>
        <v>1.5295699999999997</v>
      </c>
      <c r="BV4" s="474">
        <f>BU4/BS4*BT4</f>
        <v>37220.556379999995</v>
      </c>
      <c r="BX4" s="1129"/>
      <c r="BY4" s="1188"/>
      <c r="BZ4" s="1132"/>
      <c r="CA4" s="1132"/>
      <c r="CB4" s="1132"/>
      <c r="CC4" s="1132"/>
      <c r="CD4" s="1134"/>
      <c r="CE4" s="1121"/>
      <c r="CF4" s="1072"/>
      <c r="CH4" s="1121"/>
      <c r="CI4" s="1121"/>
      <c r="CJ4" s="1121"/>
    </row>
    <row r="5" spans="1:88" ht="20.100000000000001" customHeight="1" thickBot="1" x14ac:dyDescent="0.35">
      <c r="A5" s="966" t="s">
        <v>1</v>
      </c>
      <c r="B5" s="1172" t="s">
        <v>236</v>
      </c>
      <c r="C5" s="1173"/>
      <c r="D5" s="1174"/>
      <c r="E5" s="1172" t="s">
        <v>237</v>
      </c>
      <c r="F5" s="1173"/>
      <c r="G5" s="1174"/>
      <c r="H5" s="25"/>
      <c r="I5" s="960" t="s">
        <v>292</v>
      </c>
      <c r="J5" s="959">
        <v>250</v>
      </c>
      <c r="K5" s="107"/>
      <c r="L5" s="960" t="s">
        <v>292</v>
      </c>
      <c r="M5" s="959">
        <v>253</v>
      </c>
      <c r="O5" s="25" t="s">
        <v>292</v>
      </c>
      <c r="P5" s="107">
        <v>252</v>
      </c>
      <c r="R5" s="961" t="s">
        <v>830</v>
      </c>
      <c r="S5" s="962">
        <v>50</v>
      </c>
      <c r="BQ5" s="467">
        <v>250</v>
      </c>
      <c r="BR5" s="469" t="s">
        <v>377</v>
      </c>
      <c r="BT5" s="472">
        <f>(2.09+4.12)/60*(List1!$C$16+List1!$F$16)</f>
        <v>765.48599999999999</v>
      </c>
      <c r="BX5" s="1129" t="s">
        <v>556</v>
      </c>
      <c r="BY5" s="1125">
        <f>6.785/60*7948*3847.59+8*7948*30.83</f>
        <v>5418456.0282700006</v>
      </c>
      <c r="BZ5" s="1123">
        <f>BY5</f>
        <v>5418456.0282700006</v>
      </c>
      <c r="CA5" s="1123">
        <f>6.785/60*7948*3847.59+8*7948*30.83</f>
        <v>5418456.0282700006</v>
      </c>
      <c r="CB5" s="1123">
        <f>6.635/60*7948*3847.59+8*7948*30.83</f>
        <v>5342004.4149699993</v>
      </c>
      <c r="CC5" s="1123">
        <f>CA5</f>
        <v>5418456.0282700006</v>
      </c>
      <c r="CD5" s="1124">
        <f>6.21/60*7948*3847.59+8*7948*30.83</f>
        <v>5125391.5106199998</v>
      </c>
      <c r="CE5" s="1121">
        <f>CC5-CD5</f>
        <v>293064.51765000075</v>
      </c>
      <c r="CF5" s="1072"/>
      <c r="CH5" s="1121">
        <f>865*$CK$138+61208*$CL$138</f>
        <v>4951083.8072752003</v>
      </c>
      <c r="CI5" s="1121">
        <f>865*3764.56+61208*24.14</f>
        <v>4733905.5199999996</v>
      </c>
      <c r="CJ5" s="1121">
        <f>6.785/60*7652*3764.56+8*7652*24.14</f>
        <v>4735279.4569866667</v>
      </c>
    </row>
    <row r="6" spans="1:88" ht="20.100000000000001" customHeight="1" x14ac:dyDescent="0.3">
      <c r="A6" s="967" t="s">
        <v>862</v>
      </c>
      <c r="B6" s="968">
        <f>B231*$S$5+C231*$S$6+D231*$S$7+E231*$S$8+F231*$S$11</f>
        <v>3472</v>
      </c>
      <c r="C6" s="969">
        <f>B6</f>
        <v>3472</v>
      </c>
      <c r="D6" s="970">
        <f>B6</f>
        <v>3472</v>
      </c>
      <c r="E6" s="968">
        <f>B225*$S$5+C225*$S$6+D225*$S$7+E225*$S$8+F225*$S$11</f>
        <v>3472</v>
      </c>
      <c r="F6" s="970">
        <f>E6</f>
        <v>3472</v>
      </c>
      <c r="G6" s="971">
        <f>E6</f>
        <v>3472</v>
      </c>
      <c r="H6" s="25"/>
      <c r="I6" s="960" t="s">
        <v>293</v>
      </c>
      <c r="J6" s="959">
        <f>365-J5</f>
        <v>115</v>
      </c>
      <c r="K6" s="107"/>
      <c r="L6" s="960" t="s">
        <v>293</v>
      </c>
      <c r="M6" s="959">
        <f>365-M5</f>
        <v>112</v>
      </c>
      <c r="O6" s="25" t="s">
        <v>293</v>
      </c>
      <c r="P6" s="107">
        <f>365-P5</f>
        <v>113</v>
      </c>
      <c r="R6" s="961" t="s">
        <v>831</v>
      </c>
      <c r="S6" s="962">
        <v>151</v>
      </c>
      <c r="BQ6" s="467">
        <v>250</v>
      </c>
      <c r="BR6" s="469" t="s">
        <v>378</v>
      </c>
      <c r="BS6" s="2">
        <f>2.1+5.9</f>
        <v>8</v>
      </c>
      <c r="BT6" s="472">
        <f>(2.1+5.9)*(List1!$C$16+List1!$F$16)</f>
        <v>59168</v>
      </c>
      <c r="BU6" s="473">
        <f>List2!K156</f>
        <v>2.7685700000000004</v>
      </c>
      <c r="BV6" s="474">
        <f>BU6/BS6*BT6</f>
        <v>20476.343720000004</v>
      </c>
      <c r="BX6" s="1129"/>
      <c r="BY6" s="1125"/>
      <c r="BZ6" s="1123"/>
      <c r="CA6" s="1123"/>
      <c r="CB6" s="1123"/>
      <c r="CC6" s="1123"/>
      <c r="CD6" s="1124"/>
      <c r="CE6" s="1121"/>
      <c r="CF6" s="1072"/>
      <c r="CH6" s="1121"/>
      <c r="CI6" s="1121"/>
      <c r="CJ6" s="1121"/>
    </row>
    <row r="7" spans="1:88" ht="20.100000000000001" customHeight="1" x14ac:dyDescent="0.3">
      <c r="A7" s="967" t="s">
        <v>863</v>
      </c>
      <c r="B7" s="968">
        <f>B232*$S$5+C232*$S$6+D232*$S$7+E232*$S$8+F232*$S$11</f>
        <v>114</v>
      </c>
      <c r="C7" s="972">
        <f>B7</f>
        <v>114</v>
      </c>
      <c r="D7" s="970">
        <f>B7</f>
        <v>114</v>
      </c>
      <c r="E7" s="968">
        <f>B226*$S$5+C226*$S$6+D226*$S$7+E226*$S$8+F226*$S$11</f>
        <v>114</v>
      </c>
      <c r="F7" s="970">
        <f>E7</f>
        <v>114</v>
      </c>
      <c r="G7" s="971">
        <f>E7</f>
        <v>114</v>
      </c>
      <c r="H7" s="25"/>
      <c r="I7" s="25"/>
      <c r="J7" s="107"/>
      <c r="K7" s="107"/>
      <c r="L7" s="107"/>
      <c r="R7" s="961" t="s">
        <v>334</v>
      </c>
      <c r="S7" s="962">
        <v>50</v>
      </c>
      <c r="BQ7" s="467">
        <v>250</v>
      </c>
      <c r="BR7" s="469" t="s">
        <v>379</v>
      </c>
      <c r="BT7" s="472">
        <f>2.195/60*(List1!$C$7+List1!$F$7)</f>
        <v>8.3409999999999993</v>
      </c>
      <c r="BX7" s="1129" t="s">
        <v>557</v>
      </c>
      <c r="BY7" s="1125">
        <f>2.845/60*228*3847.59+2.1*228*26.08</f>
        <v>54083.399490000003</v>
      </c>
      <c r="BZ7" s="1123">
        <f>BY7</f>
        <v>54083.399490000003</v>
      </c>
      <c r="CA7" s="1123">
        <f>2.845/60*228*3847.59+2.1*228*26.08</f>
        <v>54083.399490000003</v>
      </c>
      <c r="CB7" s="1123">
        <f>2.195/60*228*3847.59+2.1*228*26.08</f>
        <v>44579.852189999998</v>
      </c>
      <c r="CC7" s="1123">
        <f>CA7</f>
        <v>54083.399490000003</v>
      </c>
      <c r="CD7" s="1124">
        <f>CB7</f>
        <v>44579.852189999998</v>
      </c>
      <c r="CE7" s="1121">
        <f>CC7-CD7</f>
        <v>9503.5473000000056</v>
      </c>
      <c r="CF7" s="1072"/>
      <c r="CH7" s="1121">
        <f>11*3259.37+479*12.79</f>
        <v>41979.479999999996</v>
      </c>
      <c r="CI7" s="1121">
        <f>11*3259.37+479*12.79</f>
        <v>41979.479999999996</v>
      </c>
      <c r="CJ7" s="1121">
        <f>2.845/60*228*3259.37+2.1*228*12.79</f>
        <v>41360.90107</v>
      </c>
    </row>
    <row r="8" spans="1:88" ht="20.100000000000001" customHeight="1" x14ac:dyDescent="0.3">
      <c r="A8" s="973" t="s">
        <v>864</v>
      </c>
      <c r="B8" s="968">
        <f>48*10/12*$S$5+34*2/12*$S$5+48*10/12*$S$6+34*2/12*$S$6+48*10/12*$S$7+34*2/12*$S$7+20*10/12*$S$8+19*2/12*$S$8+F233*$S$11</f>
        <v>13606.000000000002</v>
      </c>
      <c r="C8" s="974">
        <f>C260*($S$5+$S$6)+D260*$S$7+E260*$S$8+F260*$S$11</f>
        <v>15865</v>
      </c>
      <c r="D8" s="971">
        <f>C267*($S$5+$S$6)+D267*$S$7+E267*$S$8+F267*$S$11</f>
        <v>15865</v>
      </c>
      <c r="E8" s="968">
        <f>48*10/12*$S$5+34*2/12*$S$5+48*10/12*$S$6+34*2/12*$S$6+48*10/12*$S$7+34*2/12*$S$7+19*10/12*$S$8+18*2/12*$S$8+F227*$S$11</f>
        <v>13620</v>
      </c>
      <c r="F8" s="970">
        <f>C8</f>
        <v>15865</v>
      </c>
      <c r="G8" s="971">
        <f>D8</f>
        <v>15865</v>
      </c>
      <c r="H8" s="25"/>
      <c r="I8" s="25"/>
      <c r="J8" s="107"/>
      <c r="K8" s="107"/>
      <c r="L8" s="107"/>
      <c r="R8" s="961" t="s">
        <v>162</v>
      </c>
      <c r="S8" s="962">
        <v>50</v>
      </c>
      <c r="BQ8" s="467">
        <v>250</v>
      </c>
      <c r="BR8" s="469" t="s">
        <v>380</v>
      </c>
      <c r="BS8" s="2">
        <v>2.1</v>
      </c>
      <c r="BT8" s="472">
        <f>2.1*(List1!$C$7+List1!$F$7)</f>
        <v>478.8</v>
      </c>
      <c r="BU8" s="473">
        <f>BU4</f>
        <v>1.5295699999999997</v>
      </c>
      <c r="BV8" s="474">
        <f>BU8/BS8*BT8</f>
        <v>348.74195999999995</v>
      </c>
      <c r="BX8" s="1129"/>
      <c r="BY8" s="1125"/>
      <c r="BZ8" s="1123"/>
      <c r="CA8" s="1123"/>
      <c r="CB8" s="1123"/>
      <c r="CC8" s="1123"/>
      <c r="CD8" s="1124"/>
      <c r="CE8" s="1121"/>
      <c r="CF8" s="1072"/>
      <c r="CH8" s="1121"/>
      <c r="CI8" s="1121"/>
      <c r="CJ8" s="1121"/>
    </row>
    <row r="9" spans="1:88" ht="20.100000000000001" customHeight="1" x14ac:dyDescent="0.3">
      <c r="A9" s="604" t="s">
        <v>238</v>
      </c>
      <c r="B9" s="602">
        <f>$C$49*$J$5+$C$80*$J$6</f>
        <v>1440</v>
      </c>
      <c r="C9" s="603">
        <f>$C$49*$L$12+$C$80*$L$13</f>
        <v>1437</v>
      </c>
      <c r="D9" s="605">
        <f>$C$49*$L$19+$C$80*$L$20</f>
        <v>1434</v>
      </c>
      <c r="E9" s="606">
        <f>$B$49*$J$5+$B$80*$J$6</f>
        <v>1980</v>
      </c>
      <c r="F9" s="607">
        <f>$B$49*$L$12+$B$80*$L$13</f>
        <v>1985</v>
      </c>
      <c r="G9" s="605">
        <f>$B$49*$L$19+$B$80*$L$20</f>
        <v>1990</v>
      </c>
      <c r="H9" s="1">
        <f>SUM(B9,E9)</f>
        <v>3420</v>
      </c>
      <c r="I9" s="530">
        <v>3420</v>
      </c>
      <c r="J9" s="529" t="s">
        <v>394</v>
      </c>
      <c r="K9" s="107"/>
      <c r="L9" s="107"/>
      <c r="R9" s="961"/>
      <c r="S9" s="962"/>
      <c r="BQ9" s="467">
        <v>250</v>
      </c>
      <c r="BR9" s="469" t="s">
        <v>381</v>
      </c>
      <c r="BT9" s="472">
        <f>(8.03+5.47)/60*(List1!$C$6+List1!$F$6)</f>
        <v>1562.4</v>
      </c>
      <c r="BX9" s="1129" t="s">
        <v>558</v>
      </c>
      <c r="BY9" s="1125">
        <f>13.89/60*6944*7921.85+20.1*6944*60.1</f>
        <v>21123080.501600005</v>
      </c>
      <c r="BZ9" s="1123">
        <f>BY9</f>
        <v>21123080.501600005</v>
      </c>
      <c r="CA9" s="1123">
        <f>13.89/60*6944*7921.85+20.1*6944*60.1</f>
        <v>21123080.501600005</v>
      </c>
      <c r="CB9" s="1123">
        <f>13.865/60*6944*7921.85+20.1*6944*60.1</f>
        <v>21100159.948933333</v>
      </c>
      <c r="CC9" s="1123">
        <f>CA9</f>
        <v>21123080.501600005</v>
      </c>
      <c r="CD9" s="1124">
        <f>13.5/60*6944*7921.85+20.1*6944*60.1</f>
        <v>20765519.880000003</v>
      </c>
      <c r="CE9" s="1121">
        <f>CC9-CD9</f>
        <v>357560.62160000205</v>
      </c>
      <c r="CF9" s="1072"/>
      <c r="CH9" s="1121">
        <f>1584*$CK$140 +137564*$CL$140</f>
        <v>19669061.430968322</v>
      </c>
      <c r="CI9" s="1121">
        <f>1584*7750.9 +137564*47.78</f>
        <v>18850233.52</v>
      </c>
      <c r="CJ9" s="1121">
        <f>13.89/60*6844*7750.9 +20.1*6844*47.78</f>
        <v>18853244.479400001</v>
      </c>
    </row>
    <row r="10" spans="1:88" ht="20.100000000000001" customHeight="1" thickBot="1" x14ac:dyDescent="0.35">
      <c r="A10" s="608" t="s">
        <v>240</v>
      </c>
      <c r="B10" s="602">
        <f>$C$50*$J$5+$C$81*$J$6</f>
        <v>2115</v>
      </c>
      <c r="C10" s="609">
        <f>$C$50*$L$12+$C$81*$L$13</f>
        <v>2122</v>
      </c>
      <c r="D10" s="610">
        <f>$C$50*$L$19+$C$81*$L$20</f>
        <v>2129</v>
      </c>
      <c r="E10" s="611">
        <f>$B$50*$J$5+$B$81*$J$6</f>
        <v>1690</v>
      </c>
      <c r="F10" s="612">
        <f>$B$50*$L$12+$B$81*$L$13</f>
        <v>1688</v>
      </c>
      <c r="G10" s="613">
        <f>$B$50*$L$19+$B$81*$L$20</f>
        <v>1686</v>
      </c>
      <c r="H10" s="524">
        <f>SUM(B10,E10)</f>
        <v>3805</v>
      </c>
      <c r="I10" s="530">
        <v>3805</v>
      </c>
      <c r="J10" s="529" t="s">
        <v>394</v>
      </c>
      <c r="K10" s="107"/>
      <c r="L10" s="107"/>
      <c r="R10" s="961"/>
      <c r="S10" s="962"/>
      <c r="BQ10" s="467">
        <v>250</v>
      </c>
      <c r="BR10" s="469" t="s">
        <v>382</v>
      </c>
      <c r="BS10" s="2">
        <f>11.2+8.9</f>
        <v>20.100000000000001</v>
      </c>
      <c r="BT10" s="472">
        <f>(11.2+8.9)*(List1!$C$6+List1!$F$6)</f>
        <v>139574.40000000002</v>
      </c>
      <c r="BU10" s="473">
        <f>BU6</f>
        <v>2.7685700000000004</v>
      </c>
      <c r="BV10" s="474">
        <f>BU10/BS10*BT10</f>
        <v>19224.950080000006</v>
      </c>
      <c r="BX10" s="1130"/>
      <c r="BY10" s="1125"/>
      <c r="BZ10" s="1123"/>
      <c r="CA10" s="1123"/>
      <c r="CB10" s="1123"/>
      <c r="CC10" s="1123"/>
      <c r="CD10" s="1124"/>
      <c r="CE10" s="1121"/>
      <c r="CF10" s="1072"/>
      <c r="CH10" s="1121"/>
      <c r="CI10" s="1121"/>
      <c r="CJ10" s="1121"/>
    </row>
    <row r="11" spans="1:88" s="123" customFormat="1" ht="20.100000000000001" customHeight="1" thickBot="1" x14ac:dyDescent="0.35">
      <c r="A11" s="614"/>
      <c r="B11" s="1165"/>
      <c r="C11" s="1165"/>
      <c r="D11" s="615"/>
      <c r="E11" s="1165"/>
      <c r="F11" s="1165"/>
      <c r="G11" s="1165"/>
      <c r="H11" s="531">
        <f>C9+F9</f>
        <v>3422</v>
      </c>
      <c r="I11" s="332" t="s">
        <v>331</v>
      </c>
      <c r="R11" s="961" t="s">
        <v>335</v>
      </c>
      <c r="S11" s="962">
        <v>64</v>
      </c>
      <c r="BQ11" s="467">
        <v>251</v>
      </c>
      <c r="BR11" s="469" t="s">
        <v>383</v>
      </c>
      <c r="BT11" s="472">
        <f>4.165/60*(List1!$C$22+List1!$F$22)</f>
        <v>706.93933333333337</v>
      </c>
      <c r="BX11" s="1129" t="s">
        <v>559</v>
      </c>
      <c r="BY11" s="1125">
        <f>4.625/60*10184*2539.45+3.6*10184*21.19</f>
        <v>2770386.8301666668</v>
      </c>
      <c r="BZ11" s="1123">
        <f>BY11</f>
        <v>2770386.8301666668</v>
      </c>
      <c r="CA11" s="1123">
        <f>4.625/60*10184*2539.45+3.6*10184*21.19</f>
        <v>2770386.8301666668</v>
      </c>
      <c r="CB11" s="1123">
        <f>4.165/60*10184*2539.45+3.6*10184*21.19</f>
        <v>2572113.3460333333</v>
      </c>
      <c r="CC11" s="1123">
        <f>CA11</f>
        <v>2770386.8301666668</v>
      </c>
      <c r="CD11" s="1124">
        <f>CB11</f>
        <v>2572113.3460333333</v>
      </c>
      <c r="CE11" s="1121">
        <f>CC11-CD11</f>
        <v>198273.48413333343</v>
      </c>
      <c r="CF11" s="1072"/>
      <c r="CH11" s="1121">
        <f>802*$CK$136+37469*$CL$136</f>
        <v>2242543.2045951998</v>
      </c>
      <c r="CI11" s="1121">
        <f>802*1749.34+37469*19.91</f>
        <v>2148978.4699999997</v>
      </c>
      <c r="CJ11" s="1121">
        <f>4.625/60*10408*1749.34+3.6*10408*19.91</f>
        <v>2149470.1343333335</v>
      </c>
    </row>
    <row r="12" spans="1:88" s="123" customFormat="1" ht="20.100000000000001" customHeight="1" thickBot="1" x14ac:dyDescent="0.35">
      <c r="A12" s="1169" t="s">
        <v>247</v>
      </c>
      <c r="B12" s="1170"/>
      <c r="C12" s="1170"/>
      <c r="D12" s="1170"/>
      <c r="E12" s="1170"/>
      <c r="F12" s="1170"/>
      <c r="G12" s="1171"/>
      <c r="H12" s="531">
        <f>C10+F10</f>
        <v>3810</v>
      </c>
      <c r="I12" s="25" t="s">
        <v>333</v>
      </c>
      <c r="J12" s="107">
        <f>251-J13</f>
        <v>203</v>
      </c>
      <c r="K12" s="123" t="s">
        <v>292</v>
      </c>
      <c r="L12" s="123">
        <f>J12+J13</f>
        <v>251</v>
      </c>
      <c r="BQ12" s="467">
        <v>251</v>
      </c>
      <c r="BR12" s="469" t="s">
        <v>384</v>
      </c>
      <c r="BS12" s="123">
        <v>3.6</v>
      </c>
      <c r="BT12" s="472">
        <f>3.6*(List1!$C$22+List1!$F$22)</f>
        <v>36662.400000000001</v>
      </c>
      <c r="BU12" s="473">
        <f>BU14</f>
        <v>0.33111999999999853</v>
      </c>
      <c r="BV12" s="474">
        <f>BU12/BS12*BT12</f>
        <v>3372.126079999985</v>
      </c>
      <c r="BX12" s="1129"/>
      <c r="BY12" s="1125"/>
      <c r="BZ12" s="1123"/>
      <c r="CA12" s="1123"/>
      <c r="CB12" s="1123"/>
      <c r="CC12" s="1123"/>
      <c r="CD12" s="1124"/>
      <c r="CE12" s="1121"/>
      <c r="CF12" s="1072"/>
      <c r="CH12" s="1121"/>
      <c r="CI12" s="1121"/>
      <c r="CJ12" s="1121"/>
    </row>
    <row r="13" spans="1:88" s="123" customFormat="1" ht="20.100000000000001" customHeight="1" thickBot="1" x14ac:dyDescent="0.35">
      <c r="A13" s="975" t="s">
        <v>0</v>
      </c>
      <c r="B13" s="963">
        <v>2019</v>
      </c>
      <c r="C13" s="976" t="s">
        <v>330</v>
      </c>
      <c r="D13" s="965" t="s">
        <v>865</v>
      </c>
      <c r="E13" s="963">
        <v>2019</v>
      </c>
      <c r="F13" s="976" t="s">
        <v>330</v>
      </c>
      <c r="G13" s="965" t="s">
        <v>865</v>
      </c>
      <c r="H13" s="532">
        <f>D9+G9</f>
        <v>3424</v>
      </c>
      <c r="I13" s="25" t="s">
        <v>334</v>
      </c>
      <c r="J13" s="107">
        <v>48</v>
      </c>
      <c r="K13" s="123" t="s">
        <v>393</v>
      </c>
      <c r="L13" s="123">
        <f>J14+J15</f>
        <v>114</v>
      </c>
      <c r="BQ13" s="467">
        <v>251</v>
      </c>
      <c r="BR13" s="470" t="s">
        <v>379</v>
      </c>
      <c r="BT13" s="472">
        <f>4.165/60*(List1!$C$21+List1!$F$21)</f>
        <v>15.827</v>
      </c>
      <c r="BX13" s="1129" t="s">
        <v>560</v>
      </c>
      <c r="BY13" s="1125">
        <f>4.625/60*228*3462.84+3.6*228*48.78</f>
        <v>100898.03700000001</v>
      </c>
      <c r="BZ13" s="1123">
        <f>BY13</f>
        <v>100898.03700000001</v>
      </c>
      <c r="CA13" s="1123">
        <f>4.625/60*228*3462.84+3.6*228*48.78</f>
        <v>100898.03700000001</v>
      </c>
      <c r="CB13" s="1123">
        <f>4.165/60*228*3462.84+3.6*228*48.78</f>
        <v>94844.992679999996</v>
      </c>
      <c r="CC13" s="1123">
        <f>CA13</f>
        <v>100898.03700000001</v>
      </c>
      <c r="CD13" s="1124">
        <f>CB13</f>
        <v>94844.992679999996</v>
      </c>
      <c r="CE13" s="1121">
        <f>CC13-CD13</f>
        <v>6053.0443200000154</v>
      </c>
      <c r="CF13" s="1072"/>
      <c r="CH13" s="1121">
        <f>18*$CK$139 +821*$CL$139</f>
        <v>102688.15719552001</v>
      </c>
      <c r="CI13" s="1121">
        <f>18*3388.12 +821*45.84</f>
        <v>98620.799999999988</v>
      </c>
      <c r="CJ13" s="1121">
        <f>4.625/60*228*3388.12 +3.6*228*45.84</f>
        <v>97171.681000000011</v>
      </c>
    </row>
    <row r="14" spans="1:88" ht="20.100000000000001" customHeight="1" thickBot="1" x14ac:dyDescent="0.35">
      <c r="A14" s="977" t="s">
        <v>1</v>
      </c>
      <c r="B14" s="1176" t="s">
        <v>237</v>
      </c>
      <c r="C14" s="1177"/>
      <c r="D14" s="1178"/>
      <c r="E14" s="1176" t="s">
        <v>248</v>
      </c>
      <c r="F14" s="1177"/>
      <c r="G14" s="1178"/>
      <c r="H14" s="532">
        <f>D10+G10</f>
        <v>3815</v>
      </c>
      <c r="I14" s="25" t="s">
        <v>162</v>
      </c>
      <c r="J14" s="107">
        <v>51</v>
      </c>
      <c r="K14" s="107"/>
      <c r="L14" s="107"/>
      <c r="BQ14" s="467">
        <v>251</v>
      </c>
      <c r="BR14" s="470" t="s">
        <v>380</v>
      </c>
      <c r="BS14" s="2">
        <v>3.6</v>
      </c>
      <c r="BT14" s="472">
        <f>3.6*(List1!$C$21+List1!$F$21)</f>
        <v>820.80000000000007</v>
      </c>
      <c r="BU14" s="473">
        <f>List2!K157</f>
        <v>0.33111999999999853</v>
      </c>
      <c r="BV14" s="474">
        <f>BU14/BS14*BT14</f>
        <v>75.495359999999664</v>
      </c>
      <c r="BX14" s="1129"/>
      <c r="BY14" s="1126"/>
      <c r="BZ14" s="1127"/>
      <c r="CA14" s="1127"/>
      <c r="CB14" s="1127"/>
      <c r="CC14" s="1127"/>
      <c r="CD14" s="1128"/>
      <c r="CE14" s="1121"/>
      <c r="CF14" s="1072"/>
      <c r="CH14" s="1121"/>
      <c r="CI14" s="1121"/>
      <c r="CJ14" s="1121"/>
    </row>
    <row r="15" spans="1:88" ht="39.9" customHeight="1" thickBot="1" x14ac:dyDescent="0.35">
      <c r="A15" s="967" t="s">
        <v>862</v>
      </c>
      <c r="B15" s="968">
        <f>B243*$S$5+C243*$S$6+D243*$S$7+E243*$S$8+F243*$S$11</f>
        <v>3472</v>
      </c>
      <c r="C15" s="969">
        <f>B15</f>
        <v>3472</v>
      </c>
      <c r="D15" s="978">
        <f>B15</f>
        <v>3472</v>
      </c>
      <c r="E15" s="968">
        <f>B237*$S$5+C237*$S$6+D237*$S$7+E237*$S$8+F237*$S$11</f>
        <v>3472</v>
      </c>
      <c r="F15" s="978">
        <f>E15</f>
        <v>3472</v>
      </c>
      <c r="G15" s="979">
        <f>E15</f>
        <v>3472</v>
      </c>
      <c r="H15" s="25"/>
      <c r="I15" s="25" t="s">
        <v>335</v>
      </c>
      <c r="J15" s="107">
        <f>52+12-1</f>
        <v>63</v>
      </c>
      <c r="K15" s="107"/>
      <c r="L15" s="107"/>
      <c r="BQ15" s="476">
        <v>250</v>
      </c>
      <c r="BR15" s="470" t="s">
        <v>392</v>
      </c>
      <c r="BT15" s="477">
        <f>142/60*B9</f>
        <v>3408</v>
      </c>
      <c r="BU15" s="473"/>
      <c r="BV15" s="474"/>
      <c r="BX15" s="711" t="s">
        <v>2</v>
      </c>
      <c r="BY15" s="708">
        <f t="shared" ref="BY15:CD15" si="0">SUM(BY3:BY14)</f>
        <v>35345408.345961675</v>
      </c>
      <c r="BZ15" s="709">
        <f t="shared" si="0"/>
        <v>35345408.345961675</v>
      </c>
      <c r="CA15" s="709">
        <f t="shared" si="0"/>
        <v>35345408.345961675</v>
      </c>
      <c r="CB15" s="709">
        <f t="shared" si="0"/>
        <v>34040919.429291666</v>
      </c>
      <c r="CC15" s="709">
        <f t="shared" si="0"/>
        <v>35345408.345961675</v>
      </c>
      <c r="CD15" s="710">
        <f t="shared" si="0"/>
        <v>33489666.456008334</v>
      </c>
      <c r="CE15" s="528"/>
      <c r="CH15" s="528">
        <f>SUM(CH3:CH14)</f>
        <v>32396841.574383043</v>
      </c>
      <c r="CI15" s="528">
        <f>SUM(CI3:CI14)</f>
        <v>30997065.73</v>
      </c>
      <c r="CJ15" s="528">
        <f>SUM(CJ3:CJ14)</f>
        <v>30998618.676016673</v>
      </c>
    </row>
    <row r="16" spans="1:88" s="123" customFormat="1" ht="12" customHeight="1" thickBot="1" x14ac:dyDescent="0.35">
      <c r="A16" s="980" t="s">
        <v>864</v>
      </c>
      <c r="B16" s="981">
        <f>B245*$S$5+C245*$S$6+D245*$S$7+E245*$S$8+F245*$S$11</f>
        <v>3723</v>
      </c>
      <c r="C16" s="982">
        <f>11*($S$5+$S$6)+D261*$S$7+8.5*$S$8+F261*$S$11</f>
        <v>3698</v>
      </c>
      <c r="D16" s="983">
        <f>C268*($S$5+$S$6)+12.5*$S$7+8.5*$S$8+F268*$S$11</f>
        <v>3974</v>
      </c>
      <c r="E16" s="981">
        <f>B239*$S$5+C239*$S$6+D239*$S$7+E239*$S$8+F239*$S$11</f>
        <v>3723</v>
      </c>
      <c r="F16" s="984">
        <f>C16</f>
        <v>3698</v>
      </c>
      <c r="G16" s="983">
        <f>D16</f>
        <v>3974</v>
      </c>
      <c r="H16" s="122"/>
      <c r="J16" s="436">
        <f>SUM(J12:J15)</f>
        <v>365</v>
      </c>
      <c r="BQ16" s="476">
        <v>250</v>
      </c>
      <c r="BR16" s="470" t="s">
        <v>395</v>
      </c>
      <c r="BS16" s="2">
        <v>183</v>
      </c>
      <c r="BT16" s="477">
        <f>BS16*B9</f>
        <v>263520</v>
      </c>
      <c r="BU16" s="473">
        <f>BU10</f>
        <v>2.7685700000000004</v>
      </c>
      <c r="BV16" s="474">
        <f>BU16/BS16*BT16</f>
        <v>3986.7408000000005</v>
      </c>
      <c r="BY16" s="533">
        <f>159/60*3422*3336.31+183*3422*141</f>
        <v>118552525.97299999</v>
      </c>
      <c r="BZ16" s="533">
        <f>159/60*3422*3336.31+183*3422*141</f>
        <v>118552525.97299999</v>
      </c>
      <c r="CA16" s="533"/>
      <c r="CB16" s="533"/>
      <c r="CC16" s="533">
        <f>159/60*3424*3336.31+183*3424*141</f>
        <v>118621814.41600001</v>
      </c>
      <c r="CD16" s="533">
        <f>142/60*3424*3336.31+183*3424*141</f>
        <v>115385148.87466666</v>
      </c>
    </row>
    <row r="17" spans="1:82" s="123" customFormat="1" ht="14.4" thickBot="1" x14ac:dyDescent="0.35">
      <c r="A17" s="616"/>
      <c r="B17" s="616"/>
      <c r="C17" s="616"/>
      <c r="D17" s="616"/>
      <c r="E17" s="616"/>
      <c r="F17" s="616"/>
      <c r="G17" s="616"/>
      <c r="H17" s="122"/>
      <c r="I17" s="122"/>
      <c r="BQ17" s="476">
        <v>250</v>
      </c>
      <c r="BR17" s="470" t="s">
        <v>396</v>
      </c>
      <c r="BS17" s="2"/>
      <c r="BT17" s="477">
        <f>142/60*(B10+E10)</f>
        <v>9005.1666666666661</v>
      </c>
      <c r="BU17" s="473"/>
      <c r="BV17" s="474"/>
      <c r="BY17" s="1121">
        <f>(159/60*3810*2490.59)+(183*3810*247.21)</f>
        <v>197508470.23500001</v>
      </c>
      <c r="BZ17" s="1121">
        <f>(159/60*3810*2490.59)+(183*3810*247.21)</f>
        <v>197508470.23500001</v>
      </c>
      <c r="CA17" s="549"/>
      <c r="CB17" s="549"/>
      <c r="CC17" s="1121">
        <f>(159/60*3815*2490.59)+(183*3815*247.21)</f>
        <v>197767667.70250002</v>
      </c>
      <c r="CD17" s="1121">
        <f>(142/60*3815*2490.59)+(183*3815*247.21)</f>
        <v>195075547.4616667</v>
      </c>
    </row>
    <row r="18" spans="1:82" s="123" customFormat="1" ht="12" customHeight="1" thickBot="1" x14ac:dyDescent="0.35">
      <c r="A18" s="1169" t="s">
        <v>249</v>
      </c>
      <c r="B18" s="1170"/>
      <c r="C18" s="1170"/>
      <c r="D18" s="1170"/>
      <c r="E18" s="1170"/>
      <c r="F18" s="1170"/>
      <c r="G18" s="1171"/>
      <c r="H18" s="122"/>
      <c r="I18" s="332" t="s">
        <v>332</v>
      </c>
      <c r="BQ18" s="476">
        <v>250</v>
      </c>
      <c r="BR18" s="470" t="s">
        <v>397</v>
      </c>
      <c r="BS18" s="2">
        <f>BS16</f>
        <v>183</v>
      </c>
      <c r="BT18" s="477">
        <f>BS18*B10</f>
        <v>387045</v>
      </c>
      <c r="BU18" s="473">
        <f>BU16</f>
        <v>2.7685700000000004</v>
      </c>
      <c r="BV18" s="474">
        <f>BU18/BS18*BT18</f>
        <v>5855.5255500000003</v>
      </c>
      <c r="BY18" s="1121"/>
      <c r="BZ18" s="1121"/>
      <c r="CA18" s="549"/>
      <c r="CB18" s="549"/>
      <c r="CC18" s="1121"/>
      <c r="CD18" s="1121"/>
    </row>
    <row r="19" spans="1:82" ht="12" customHeight="1" thickBot="1" x14ac:dyDescent="0.3">
      <c r="A19" s="975" t="s">
        <v>0</v>
      </c>
      <c r="B19" s="963">
        <v>2019</v>
      </c>
      <c r="C19" s="976" t="s">
        <v>330</v>
      </c>
      <c r="D19" s="965" t="s">
        <v>865</v>
      </c>
      <c r="E19" s="963">
        <v>2019</v>
      </c>
      <c r="F19" s="976" t="s">
        <v>330</v>
      </c>
      <c r="G19" s="965" t="s">
        <v>865</v>
      </c>
      <c r="H19" s="25"/>
      <c r="I19" s="25" t="s">
        <v>333</v>
      </c>
      <c r="J19" s="107">
        <f>252-J20</f>
        <v>202</v>
      </c>
      <c r="K19" s="123" t="s">
        <v>292</v>
      </c>
      <c r="L19" s="107">
        <f>J19+J20</f>
        <v>252</v>
      </c>
      <c r="BY19" s="528">
        <f>SUM(BY16:BY18)</f>
        <v>316060996.208</v>
      </c>
      <c r="BZ19" s="528">
        <f>SUM(BZ16:BZ18)</f>
        <v>316060996.208</v>
      </c>
      <c r="CA19" s="528"/>
      <c r="CB19" s="528"/>
      <c r="CC19" s="528">
        <f>SUM(CC16:CC18)</f>
        <v>316389482.11849999</v>
      </c>
      <c r="CD19" s="528">
        <f>SUM(CD16:CD18)</f>
        <v>310460696.33633339</v>
      </c>
    </row>
    <row r="20" spans="1:82" ht="12" customHeight="1" thickBot="1" x14ac:dyDescent="0.3">
      <c r="A20" s="977" t="s">
        <v>1</v>
      </c>
      <c r="B20" s="1176" t="s">
        <v>250</v>
      </c>
      <c r="C20" s="1177"/>
      <c r="D20" s="1178"/>
      <c r="E20" s="1176" t="s">
        <v>237</v>
      </c>
      <c r="F20" s="1177"/>
      <c r="G20" s="1178"/>
      <c r="H20" s="25"/>
      <c r="I20" s="25" t="s">
        <v>334</v>
      </c>
      <c r="J20" s="107">
        <v>50</v>
      </c>
      <c r="K20" s="123" t="s">
        <v>393</v>
      </c>
      <c r="L20" s="107">
        <f>J21+J22</f>
        <v>113</v>
      </c>
      <c r="BQ20" s="123"/>
      <c r="BR20" s="123" t="s">
        <v>390</v>
      </c>
      <c r="BS20" s="12" t="s">
        <v>386</v>
      </c>
      <c r="BT20" s="2" t="s">
        <v>385</v>
      </c>
      <c r="BU20" s="12" t="s">
        <v>387</v>
      </c>
      <c r="BV20" s="2" t="s">
        <v>388</v>
      </c>
    </row>
    <row r="21" spans="1:82" ht="12" customHeight="1" x14ac:dyDescent="0.3">
      <c r="A21" s="967" t="s">
        <v>863</v>
      </c>
      <c r="B21" s="968">
        <f>B254*$S$5+C254*$S$6+D254*$S$7+E254*$S$8+F254*$S$11</f>
        <v>114</v>
      </c>
      <c r="C21" s="969">
        <f>B21</f>
        <v>114</v>
      </c>
      <c r="D21" s="978">
        <f>B21</f>
        <v>114</v>
      </c>
      <c r="E21" s="968">
        <f>B249*$S$5+C249*$S$6+D249*$S$7+E249*$S$8+F249*$S$11</f>
        <v>114</v>
      </c>
      <c r="F21" s="978">
        <f>E21</f>
        <v>114</v>
      </c>
      <c r="G21" s="979">
        <f>E21</f>
        <v>114</v>
      </c>
      <c r="H21" s="25"/>
      <c r="I21" s="25" t="s">
        <v>162</v>
      </c>
      <c r="J21" s="107">
        <v>51</v>
      </c>
      <c r="K21" s="107"/>
      <c r="L21" s="107"/>
      <c r="BQ21" s="467">
        <v>250</v>
      </c>
      <c r="BR21" s="468" t="s">
        <v>375</v>
      </c>
      <c r="BS21" s="123"/>
      <c r="BT21" s="471">
        <f>2.845/60*(List1!$C$27+List1!$F$27)</f>
        <v>1153.8371666666667</v>
      </c>
      <c r="BU21" s="123"/>
      <c r="BV21" s="123"/>
    </row>
    <row r="22" spans="1:82" s="123" customFormat="1" ht="12" customHeight="1" thickBot="1" x14ac:dyDescent="0.35">
      <c r="A22" s="980" t="s">
        <v>864</v>
      </c>
      <c r="B22" s="981">
        <f>B255*$S$5+C255*$S$6+D255*$S$7+9.5*$S$8+8.5*$S$11</f>
        <v>4784</v>
      </c>
      <c r="C22" s="982">
        <f>C262*($S$5+$S$6)+D262*$S$7+10*$S$8+9*$S$11</f>
        <v>5092</v>
      </c>
      <c r="D22" s="983">
        <f>C269*($S$5+$S$6)+D269*$S$7+10*$S$8+9*$S$11</f>
        <v>5092</v>
      </c>
      <c r="E22" s="981">
        <f>B250*$S$5+C250*$S$6+D250*$S$7+10.5*$S$8+7.5*$S$11</f>
        <v>4820</v>
      </c>
      <c r="F22" s="985">
        <f>C22</f>
        <v>5092</v>
      </c>
      <c r="G22" s="983">
        <f>D22</f>
        <v>5092</v>
      </c>
      <c r="H22" s="122"/>
      <c r="I22" s="25" t="s">
        <v>335</v>
      </c>
      <c r="J22" s="107">
        <f>52+10</f>
        <v>62</v>
      </c>
      <c r="BQ22" s="467">
        <v>250</v>
      </c>
      <c r="BR22" s="469" t="s">
        <v>376</v>
      </c>
      <c r="BS22" s="123">
        <f>BS4</f>
        <v>2.1</v>
      </c>
      <c r="BT22" s="472">
        <f>2.1*(List1!$C$27+List1!$F$27)</f>
        <v>51101.4</v>
      </c>
      <c r="BU22" s="475">
        <f>BU4</f>
        <v>1.5295699999999997</v>
      </c>
      <c r="BV22" s="474">
        <f>BU22/BS22*BT22</f>
        <v>37220.556379999995</v>
      </c>
      <c r="BX22" s="123">
        <v>3351.88</v>
      </c>
    </row>
    <row r="23" spans="1:82" s="123" customFormat="1" ht="13.8" x14ac:dyDescent="0.3">
      <c r="A23" s="58"/>
      <c r="B23" s="58"/>
      <c r="C23" s="58"/>
      <c r="D23" s="58"/>
      <c r="E23" s="58"/>
      <c r="F23" s="58"/>
      <c r="G23" s="58"/>
      <c r="H23" s="122"/>
      <c r="I23" s="122"/>
      <c r="J23" s="436">
        <f>SUM(J19:J22)</f>
        <v>365</v>
      </c>
      <c r="BQ23" s="467">
        <v>250</v>
      </c>
      <c r="BR23" s="469" t="s">
        <v>377</v>
      </c>
      <c r="BS23" s="2"/>
      <c r="BT23" s="472">
        <f>(2.24+4.545)/60*(List1!$C$16+List1!$F$16)</f>
        <v>836.36433333333343</v>
      </c>
      <c r="BU23" s="2"/>
      <c r="BV23" s="474"/>
      <c r="BX23" s="123">
        <v>47.22</v>
      </c>
    </row>
    <row r="24" spans="1:82" ht="13.8" x14ac:dyDescent="0.3">
      <c r="A24" s="109"/>
      <c r="B24" s="109"/>
      <c r="C24" s="109"/>
      <c r="D24" s="109"/>
      <c r="E24" s="109"/>
      <c r="F24" s="109"/>
      <c r="G24" s="109"/>
      <c r="H24" s="25"/>
      <c r="I24" s="25"/>
      <c r="J24" s="107"/>
      <c r="K24" s="107"/>
      <c r="L24" s="107"/>
      <c r="BQ24" s="467">
        <v>250</v>
      </c>
      <c r="BR24" s="469" t="s">
        <v>378</v>
      </c>
      <c r="BS24" s="2">
        <f>BS6</f>
        <v>8</v>
      </c>
      <c r="BT24" s="472">
        <f>(2.1+5.9)*(List1!$C$16+List1!$F$16)</f>
        <v>59168</v>
      </c>
      <c r="BU24" s="473">
        <f>BU6</f>
        <v>2.7685700000000004</v>
      </c>
      <c r="BV24" s="474">
        <f t="shared" ref="BV24:BV30" si="1">BU24/BS24*BT24</f>
        <v>20476.343720000004</v>
      </c>
    </row>
    <row r="25" spans="1:82" ht="14.4" thickBot="1" x14ac:dyDescent="0.35">
      <c r="A25" s="109"/>
      <c r="B25" s="109"/>
      <c r="C25" s="109"/>
      <c r="D25" s="109"/>
      <c r="E25" s="109"/>
      <c r="F25" s="109"/>
      <c r="G25" s="109"/>
      <c r="H25" s="25"/>
      <c r="I25" s="25"/>
      <c r="J25" s="107"/>
      <c r="K25" s="107"/>
      <c r="L25" s="107"/>
      <c r="BQ25" s="467">
        <v>250</v>
      </c>
      <c r="BR25" s="469" t="s">
        <v>379</v>
      </c>
      <c r="BT25" s="472">
        <f>2.845/60*(List1!$C$7+List1!$F$7)</f>
        <v>10.811</v>
      </c>
      <c r="BV25" s="474"/>
    </row>
    <row r="26" spans="1:82" s="123" customFormat="1" ht="14.4" thickBot="1" x14ac:dyDescent="0.35">
      <c r="A26" s="1179" t="s">
        <v>373</v>
      </c>
      <c r="B26" s="1180"/>
      <c r="C26" s="1180"/>
      <c r="D26" s="1180"/>
      <c r="E26" s="1180"/>
      <c r="F26" s="1180"/>
      <c r="G26" s="1181"/>
      <c r="H26" s="122"/>
      <c r="I26" s="122"/>
      <c r="BQ26" s="467">
        <v>250</v>
      </c>
      <c r="BR26" s="469" t="s">
        <v>380</v>
      </c>
      <c r="BS26" s="123">
        <f>BS8</f>
        <v>2.1</v>
      </c>
      <c r="BT26" s="472">
        <f>2.1*(List1!$C$7+List1!$F$7)</f>
        <v>478.8</v>
      </c>
      <c r="BU26" s="475">
        <f>BU8</f>
        <v>1.5295699999999997</v>
      </c>
      <c r="BV26" s="474">
        <f t="shared" si="1"/>
        <v>348.74195999999995</v>
      </c>
    </row>
    <row r="27" spans="1:82" s="123" customFormat="1" ht="14.4" thickBot="1" x14ac:dyDescent="0.35">
      <c r="A27" s="287" t="s">
        <v>217</v>
      </c>
      <c r="B27" s="937">
        <f>FLOOR(B8-B16,1)</f>
        <v>9883</v>
      </c>
      <c r="C27" s="937">
        <f t="shared" ref="C27:G27" si="2">FLOOR(C8-C16,1)</f>
        <v>12167</v>
      </c>
      <c r="D27" s="937">
        <f t="shared" si="2"/>
        <v>11891</v>
      </c>
      <c r="E27" s="937">
        <f t="shared" si="2"/>
        <v>9897</v>
      </c>
      <c r="F27" s="937">
        <f t="shared" si="2"/>
        <v>12167</v>
      </c>
      <c r="G27" s="937">
        <f t="shared" si="2"/>
        <v>11891</v>
      </c>
      <c r="H27" s="122"/>
      <c r="I27" s="122"/>
      <c r="BQ27" s="467">
        <v>250</v>
      </c>
      <c r="BR27" s="469" t="s">
        <v>381</v>
      </c>
      <c r="BT27" s="472">
        <f>(8.055+5.835)/60*(List1!$C$6+List1!$F$6)</f>
        <v>1607.5360000000001</v>
      </c>
      <c r="BV27" s="474"/>
    </row>
    <row r="28" spans="1:82" s="123" customFormat="1" ht="13.8" x14ac:dyDescent="0.3">
      <c r="A28" s="58"/>
      <c r="B28" s="58"/>
      <c r="C28" s="58"/>
      <c r="D28" s="58"/>
      <c r="E28" s="58"/>
      <c r="F28" s="58"/>
      <c r="G28" s="58"/>
      <c r="H28" s="122"/>
      <c r="I28" s="122"/>
      <c r="BQ28" s="467">
        <v>250</v>
      </c>
      <c r="BR28" s="469" t="s">
        <v>382</v>
      </c>
      <c r="BS28" s="2">
        <f>BS10</f>
        <v>20.100000000000001</v>
      </c>
      <c r="BT28" s="472">
        <f>(11.2+8.9)*(List1!$C$6+List1!$F$6)</f>
        <v>139574.40000000002</v>
      </c>
      <c r="BU28" s="473">
        <f>BU10</f>
        <v>2.7685700000000004</v>
      </c>
      <c r="BV28" s="474">
        <f t="shared" si="1"/>
        <v>19224.950080000006</v>
      </c>
    </row>
    <row r="29" spans="1:82" ht="13.8" x14ac:dyDescent="0.3">
      <c r="A29" s="109"/>
      <c r="B29" s="109"/>
      <c r="C29" s="109"/>
      <c r="D29" s="109"/>
      <c r="E29" s="109"/>
      <c r="F29" s="109"/>
      <c r="G29" s="109"/>
      <c r="H29" s="25"/>
      <c r="I29" s="25"/>
      <c r="J29" s="107"/>
      <c r="K29" s="107"/>
      <c r="L29" s="107"/>
      <c r="BQ29" s="467">
        <v>251</v>
      </c>
      <c r="BR29" s="469" t="s">
        <v>383</v>
      </c>
      <c r="BT29" s="472">
        <f>4.625/60*(List1!$C$22+List1!$F$22)</f>
        <v>785.01666666666665</v>
      </c>
      <c r="BV29" s="474"/>
    </row>
    <row r="30" spans="1:82" ht="13.8" x14ac:dyDescent="0.3">
      <c r="A30" s="109"/>
      <c r="B30" s="109"/>
      <c r="C30" s="109"/>
      <c r="D30" s="109"/>
      <c r="E30" s="109"/>
      <c r="F30" s="109"/>
      <c r="G30" s="109"/>
      <c r="H30" s="25"/>
      <c r="I30" s="25"/>
      <c r="J30" s="107"/>
      <c r="K30" s="107"/>
      <c r="L30" s="107"/>
      <c r="BQ30" s="467">
        <v>251</v>
      </c>
      <c r="BR30" s="469" t="s">
        <v>384</v>
      </c>
      <c r="BS30" s="123">
        <f>BS12</f>
        <v>3.6</v>
      </c>
      <c r="BT30" s="472">
        <f>3.6*(List1!$C$22+List1!$F$22)</f>
        <v>36662.400000000001</v>
      </c>
      <c r="BU30" s="475">
        <f>BU12</f>
        <v>0.33111999999999853</v>
      </c>
      <c r="BV30" s="474">
        <f t="shared" si="1"/>
        <v>3372.126079999985</v>
      </c>
    </row>
    <row r="31" spans="1:82" ht="13.8" x14ac:dyDescent="0.3">
      <c r="A31" s="217"/>
      <c r="B31" s="1175"/>
      <c r="C31" s="1175"/>
      <c r="D31" s="420"/>
      <c r="E31" s="1175"/>
      <c r="F31" s="1175"/>
      <c r="G31" s="1175"/>
      <c r="H31" s="25"/>
      <c r="I31" s="25"/>
      <c r="J31" s="107"/>
      <c r="K31" s="107"/>
      <c r="L31" s="107"/>
      <c r="BQ31" s="467">
        <v>251</v>
      </c>
      <c r="BR31" s="470" t="s">
        <v>379</v>
      </c>
      <c r="BS31" s="123"/>
      <c r="BT31" s="472">
        <f>4.625/60*(List1!$C$21+List1!$F$21)</f>
        <v>17.574999999999999</v>
      </c>
      <c r="BU31" s="123"/>
      <c r="BV31" s="474"/>
    </row>
    <row r="32" spans="1:82" ht="13.8" x14ac:dyDescent="0.3">
      <c r="A32" s="58"/>
      <c r="B32" s="58"/>
      <c r="C32" s="58"/>
      <c r="D32" s="58"/>
      <c r="E32" s="58"/>
      <c r="F32" s="58"/>
      <c r="G32" s="58"/>
      <c r="I32" s="25"/>
      <c r="J32" s="107"/>
      <c r="K32" s="107"/>
      <c r="L32" s="107"/>
      <c r="BQ32" s="467">
        <v>251</v>
      </c>
      <c r="BR32" s="470" t="s">
        <v>380</v>
      </c>
      <c r="BS32" s="123">
        <f>BS14</f>
        <v>3.6</v>
      </c>
      <c r="BT32" s="472">
        <f>3.6*(List1!$C$21+List1!$F$21)</f>
        <v>820.80000000000007</v>
      </c>
      <c r="BU32" s="475">
        <f>BU14</f>
        <v>0.33111999999999853</v>
      </c>
      <c r="BV32" s="474">
        <f>BU32/BS32*BT32</f>
        <v>75.495359999999664</v>
      </c>
    </row>
    <row r="33" spans="1:74" ht="13.8" x14ac:dyDescent="0.3">
      <c r="A33" s="58"/>
      <c r="B33" s="58"/>
      <c r="C33" s="58"/>
      <c r="D33" s="58"/>
      <c r="E33" s="58"/>
      <c r="F33" s="58"/>
      <c r="G33" s="58"/>
      <c r="H33" s="332" t="s">
        <v>298</v>
      </c>
      <c r="I33" s="25"/>
      <c r="J33" s="107"/>
      <c r="K33" s="107"/>
      <c r="L33" s="107"/>
      <c r="BQ33" s="476">
        <v>250</v>
      </c>
      <c r="BR33" s="470" t="s">
        <v>392</v>
      </c>
      <c r="BT33" s="472">
        <f>159/60*B9</f>
        <v>3816</v>
      </c>
    </row>
    <row r="34" spans="1:74" ht="13.8" x14ac:dyDescent="0.3">
      <c r="A34" s="109"/>
      <c r="B34" s="109"/>
      <c r="C34" s="109"/>
      <c r="D34" s="109"/>
      <c r="E34" s="109"/>
      <c r="F34" s="109"/>
      <c r="G34" s="109"/>
      <c r="H34" s="25"/>
      <c r="I34" s="25"/>
      <c r="J34" s="107"/>
      <c r="K34" s="107"/>
      <c r="L34" s="107"/>
      <c r="BQ34" s="476">
        <v>250</v>
      </c>
      <c r="BR34" s="470" t="s">
        <v>395</v>
      </c>
      <c r="BS34" s="2">
        <f>BS18</f>
        <v>183</v>
      </c>
      <c r="BT34" s="472">
        <f>BS34*B9</f>
        <v>263520</v>
      </c>
      <c r="BU34" s="473">
        <f>BU28</f>
        <v>2.7685700000000004</v>
      </c>
      <c r="BV34" s="474">
        <f>BU34/BS34*BT34</f>
        <v>3986.7408000000005</v>
      </c>
    </row>
    <row r="35" spans="1:74" ht="13.8" x14ac:dyDescent="0.3">
      <c r="A35" s="109"/>
      <c r="B35" s="109"/>
      <c r="C35" s="109"/>
      <c r="D35" s="109"/>
      <c r="E35" s="109"/>
      <c r="F35" s="109"/>
      <c r="G35" s="109"/>
      <c r="H35" s="25"/>
      <c r="I35" s="25"/>
      <c r="J35" s="107"/>
      <c r="K35" s="107"/>
      <c r="L35" s="107"/>
      <c r="BQ35" s="476">
        <v>250</v>
      </c>
      <c r="BR35" s="470" t="s">
        <v>396</v>
      </c>
      <c r="BT35" s="472">
        <f>159/60*B10</f>
        <v>5604.75</v>
      </c>
    </row>
    <row r="36" spans="1:74" ht="14.4" thickBot="1" x14ac:dyDescent="0.35">
      <c r="A36" s="108"/>
      <c r="B36" s="218"/>
      <c r="C36" s="218"/>
      <c r="D36" s="218"/>
      <c r="E36" s="218"/>
      <c r="F36" s="218"/>
      <c r="G36" s="218"/>
      <c r="H36" s="25"/>
      <c r="I36" s="25"/>
      <c r="J36" s="107"/>
      <c r="K36" s="107"/>
      <c r="L36" s="107"/>
      <c r="BQ36" s="476">
        <v>250</v>
      </c>
      <c r="BR36" s="470" t="s">
        <v>397</v>
      </c>
      <c r="BS36" s="2">
        <f>BS34</f>
        <v>183</v>
      </c>
      <c r="BT36" s="472">
        <f>BS36*B10</f>
        <v>387045</v>
      </c>
      <c r="BU36" s="473">
        <f>BU28</f>
        <v>2.7685700000000004</v>
      </c>
      <c r="BV36" s="474">
        <f>BU36/BS36*BT36</f>
        <v>5855.5255500000003</v>
      </c>
    </row>
    <row r="37" spans="1:74" ht="13.8" hidden="1" thickBot="1" x14ac:dyDescent="0.3">
      <c r="A37" s="214" t="s">
        <v>148</v>
      </c>
      <c r="B37" s="215">
        <f>SUM(B9:B10,B13:B14,B19:B20,B24:B25,B29:B30,B34:B35)</f>
        <v>7593</v>
      </c>
      <c r="C37" s="215">
        <f>SUM(C9:C10,C13:C14,C19:C20,C24:C25,C29:C30,C34:C35)</f>
        <v>3559</v>
      </c>
      <c r="D37" s="215"/>
      <c r="E37" s="215">
        <f>SUM(E9:E10,E13:E14,E19:E20,E24:E25,E29:E30,E34:E35)</f>
        <v>7708</v>
      </c>
      <c r="F37" s="431"/>
      <c r="G37" s="216">
        <f>SUM(G9:G10,G13:G14,G19:G20,G24:G25,G29:G30,G34:G35)</f>
        <v>3676</v>
      </c>
      <c r="H37" s="25"/>
      <c r="I37" s="25"/>
      <c r="J37" s="108"/>
      <c r="K37" s="108"/>
      <c r="L37" s="108"/>
      <c r="M37" s="6"/>
      <c r="N37" s="6"/>
      <c r="O37" s="6"/>
    </row>
    <row r="38" spans="1:74" ht="15.75" customHeight="1" thickBot="1" x14ac:dyDescent="0.3">
      <c r="E38" s="25"/>
      <c r="F38" s="25"/>
      <c r="G38" s="25"/>
      <c r="H38" s="1106" t="s">
        <v>140</v>
      </c>
      <c r="I38" s="1107"/>
      <c r="J38" s="1107"/>
      <c r="K38" s="1107"/>
      <c r="L38" s="1107"/>
      <c r="M38" s="1108"/>
      <c r="N38" s="1184"/>
      <c r="O38" s="1184"/>
    </row>
    <row r="39" spans="1:74" ht="13.8" thickBot="1" x14ac:dyDescent="0.3">
      <c r="E39" s="25"/>
      <c r="F39" s="25"/>
      <c r="G39" s="25"/>
      <c r="H39" s="182" t="s">
        <v>0</v>
      </c>
      <c r="I39" s="198">
        <v>2017</v>
      </c>
      <c r="J39" s="198">
        <f>I39+1</f>
        <v>2018</v>
      </c>
      <c r="K39" s="198"/>
      <c r="L39" s="342"/>
      <c r="M39" s="213" t="s">
        <v>227</v>
      </c>
      <c r="N39" s="33"/>
      <c r="O39" s="33"/>
      <c r="Y39" s="184"/>
      <c r="Z39" s="184"/>
      <c r="AA39" s="184"/>
      <c r="AB39" s="184"/>
      <c r="AC39" s="184"/>
      <c r="AD39" s="184"/>
      <c r="AE39" s="184"/>
      <c r="AF39" s="184"/>
    </row>
    <row r="40" spans="1:74" ht="13.8" x14ac:dyDescent="0.25">
      <c r="A40" s="350"/>
      <c r="B40" s="350"/>
      <c r="C40" s="350"/>
      <c r="D40" s="421"/>
      <c r="E40" s="25"/>
      <c r="F40" s="25"/>
      <c r="G40" s="25"/>
      <c r="H40" s="237" t="s">
        <v>296</v>
      </c>
      <c r="I40" s="190">
        <f>2/3*$M$72</f>
        <v>1214411.6666666665</v>
      </c>
      <c r="J40" s="351" t="s">
        <v>302</v>
      </c>
      <c r="K40" s="190"/>
      <c r="L40" s="190"/>
      <c r="M40" s="221"/>
      <c r="N40" s="325"/>
      <c r="O40" s="325"/>
      <c r="Y40" s="184"/>
      <c r="Z40" s="184"/>
      <c r="AA40" s="184"/>
      <c r="AB40" s="184"/>
      <c r="AC40" s="184"/>
      <c r="AD40" s="184"/>
      <c r="AE40" s="184"/>
      <c r="AF40" s="184"/>
    </row>
    <row r="41" spans="1:74" ht="14.4" thickBot="1" x14ac:dyDescent="0.3">
      <c r="A41" s="350"/>
      <c r="B41" s="350"/>
      <c r="C41" s="350"/>
      <c r="D41" s="421"/>
      <c r="E41" s="25"/>
      <c r="F41" s="25"/>
      <c r="G41" s="25"/>
      <c r="H41" s="345" t="s">
        <v>299</v>
      </c>
      <c r="I41" s="194">
        <f>1/3*$M$72</f>
        <v>607205.83333333326</v>
      </c>
      <c r="J41" s="194"/>
      <c r="K41" s="194"/>
      <c r="L41" s="194"/>
      <c r="M41" s="348"/>
      <c r="N41" s="325"/>
      <c r="O41" s="325"/>
      <c r="Y41" s="184"/>
      <c r="Z41" s="184"/>
      <c r="AA41" s="184"/>
      <c r="AB41" s="184"/>
      <c r="AC41" s="184"/>
      <c r="AD41" s="184"/>
      <c r="AE41" s="184"/>
      <c r="AF41" s="184"/>
    </row>
    <row r="42" spans="1:74" x14ac:dyDescent="0.25">
      <c r="A42" s="1140" t="s">
        <v>289</v>
      </c>
      <c r="B42" s="1140"/>
      <c r="C42" s="1140"/>
      <c r="D42" s="425"/>
      <c r="E42" s="25"/>
      <c r="F42" s="25"/>
      <c r="G42" s="25"/>
      <c r="H42" s="237" t="s">
        <v>297</v>
      </c>
      <c r="I42" s="190">
        <f>1/2*$M$71</f>
        <v>362187.77777777775</v>
      </c>
      <c r="J42" s="190"/>
      <c r="K42" s="190"/>
      <c r="L42" s="190"/>
      <c r="M42" s="221"/>
      <c r="N42" s="325"/>
      <c r="O42" s="325"/>
      <c r="Y42" s="184"/>
      <c r="Z42" s="184"/>
      <c r="AA42" s="184"/>
      <c r="AB42" s="184"/>
      <c r="AC42" s="184"/>
      <c r="AD42" s="184"/>
      <c r="AE42" s="184"/>
      <c r="AF42" s="184"/>
    </row>
    <row r="43" spans="1:74" ht="14.4" thickBot="1" x14ac:dyDescent="0.3">
      <c r="A43" s="1147" t="s">
        <v>244</v>
      </c>
      <c r="B43" s="1147"/>
      <c r="C43" s="1147"/>
      <c r="D43" s="421"/>
      <c r="E43" s="25"/>
      <c r="F43" s="25"/>
      <c r="G43" s="25"/>
      <c r="H43" s="236" t="s">
        <v>300</v>
      </c>
      <c r="I43" s="344">
        <f>1/2*$M$71</f>
        <v>362187.77777777775</v>
      </c>
      <c r="J43" s="344"/>
      <c r="K43" s="344"/>
      <c r="L43" s="344"/>
      <c r="M43" s="348"/>
      <c r="N43" s="325"/>
      <c r="O43" s="325"/>
      <c r="Y43" s="184"/>
      <c r="Z43" s="184"/>
      <c r="AA43" s="184"/>
      <c r="AB43" s="184"/>
      <c r="AC43" s="184"/>
      <c r="AD43" s="184"/>
      <c r="AE43" s="184"/>
      <c r="AF43" s="184"/>
    </row>
    <row r="44" spans="1:74" ht="16.2" thickBot="1" x14ac:dyDescent="0.35">
      <c r="A44" s="938" t="s">
        <v>149</v>
      </c>
      <c r="B44" s="939" t="s">
        <v>150</v>
      </c>
      <c r="C44" s="939" t="s">
        <v>151</v>
      </c>
      <c r="D44" s="211"/>
      <c r="E44" s="25"/>
      <c r="F44" s="25"/>
      <c r="G44" s="58"/>
      <c r="H44" s="237" t="s">
        <v>295</v>
      </c>
      <c r="I44" s="190">
        <f>I68*(G98+G104+J98+J104+M104+P104+P98)+J68*(H98+H104+K98+K104+N104+Q98+Q104)+K68*(I98+I104+L98+L104+O104+R98+R104)</f>
        <v>0</v>
      </c>
      <c r="J44" s="190"/>
      <c r="K44" s="190"/>
      <c r="L44" s="190"/>
      <c r="M44" s="221"/>
      <c r="N44" s="33"/>
      <c r="O44" s="33"/>
      <c r="Y44" s="184"/>
      <c r="Z44" s="256" t="s">
        <v>222</v>
      </c>
      <c r="AA44" s="199"/>
      <c r="AB44" s="199"/>
      <c r="AC44" s="199"/>
      <c r="AD44" s="199"/>
      <c r="AE44" s="199"/>
      <c r="AF44" s="184"/>
    </row>
    <row r="45" spans="1:74" ht="16.2" thickBot="1" x14ac:dyDescent="0.35">
      <c r="A45" s="938" t="s">
        <v>216</v>
      </c>
      <c r="B45" s="939">
        <v>0</v>
      </c>
      <c r="C45" s="939">
        <v>0</v>
      </c>
      <c r="D45" s="211"/>
      <c r="E45" s="25"/>
      <c r="F45" s="25"/>
      <c r="G45" s="58"/>
      <c r="H45" s="236" t="s">
        <v>301</v>
      </c>
      <c r="I45" s="344">
        <f>$M$73</f>
        <v>352719.64285714284</v>
      </c>
      <c r="J45" s="344"/>
      <c r="K45" s="344"/>
      <c r="L45" s="344"/>
      <c r="M45" s="348"/>
      <c r="N45" s="33"/>
      <c r="O45" s="33"/>
      <c r="Y45" s="184"/>
      <c r="Z45" s="256"/>
      <c r="AA45" s="199"/>
      <c r="AB45" s="199"/>
      <c r="AC45" s="199"/>
      <c r="AD45" s="199"/>
      <c r="AE45" s="199"/>
      <c r="AF45" s="184"/>
    </row>
    <row r="46" spans="1:74" ht="16.2" thickBot="1" x14ac:dyDescent="0.35">
      <c r="A46" s="938" t="s">
        <v>215</v>
      </c>
      <c r="B46" s="939">
        <v>10</v>
      </c>
      <c r="C46" s="939">
        <v>10</v>
      </c>
      <c r="D46" s="211"/>
      <c r="E46" s="25"/>
      <c r="F46" s="25"/>
      <c r="G46" s="25"/>
      <c r="H46" s="346" t="s">
        <v>3</v>
      </c>
      <c r="I46" s="347">
        <f>SUM(I40:I45)</f>
        <v>2898712.6984126978</v>
      </c>
      <c r="J46" s="347">
        <f>SUM(J40:J45)</f>
        <v>0</v>
      </c>
      <c r="K46" s="347">
        <f>SUM(K40:K45)</f>
        <v>0</v>
      </c>
      <c r="L46" s="347">
        <f>SUM(L40:L45)</f>
        <v>0</v>
      </c>
      <c r="M46" s="222">
        <f>SUM(M40:M45)</f>
        <v>0</v>
      </c>
      <c r="N46" s="33"/>
      <c r="O46" s="33"/>
      <c r="R46" s="210"/>
      <c r="Y46" s="184"/>
      <c r="Z46" s="257"/>
      <c r="AA46" s="258"/>
      <c r="AB46" s="259" t="s">
        <v>21</v>
      </c>
      <c r="AC46" s="260" t="s">
        <v>22</v>
      </c>
      <c r="AD46" s="168" t="s">
        <v>204</v>
      </c>
      <c r="AE46" s="168" t="s">
        <v>205</v>
      </c>
      <c r="AF46" s="73"/>
    </row>
    <row r="47" spans="1:74" ht="16.2" thickBot="1" x14ac:dyDescent="0.35">
      <c r="A47" s="938" t="s">
        <v>152</v>
      </c>
      <c r="B47" s="939">
        <v>0</v>
      </c>
      <c r="C47" s="939">
        <v>0</v>
      </c>
      <c r="D47" s="211"/>
      <c r="G47" s="349"/>
      <c r="H47" s="1" t="s">
        <v>193</v>
      </c>
      <c r="I47" s="286">
        <f>M71+M72+M73</f>
        <v>2898712.6984126978</v>
      </c>
      <c r="J47" s="184"/>
      <c r="K47" s="184"/>
      <c r="L47" s="184"/>
      <c r="Y47" s="184"/>
      <c r="Z47" s="261">
        <v>2014</v>
      </c>
      <c r="AA47" s="262" t="s">
        <v>206</v>
      </c>
      <c r="AB47" s="263">
        <v>79589.3</v>
      </c>
      <c r="AC47" s="264">
        <v>71667114</v>
      </c>
      <c r="AD47" s="265">
        <v>4735248.473851</v>
      </c>
      <c r="AE47" s="271" t="s">
        <v>219</v>
      </c>
      <c r="AF47" s="73"/>
    </row>
    <row r="48" spans="1:74" ht="16.2" thickBot="1" x14ac:dyDescent="0.35">
      <c r="A48" s="940" t="s">
        <v>153</v>
      </c>
      <c r="B48" s="941">
        <v>47</v>
      </c>
      <c r="C48" s="941">
        <v>46</v>
      </c>
      <c r="D48" s="211"/>
      <c r="H48" s="2"/>
      <c r="I48" s="2"/>
      <c r="M48" s="1184" t="s">
        <v>130</v>
      </c>
      <c r="N48" s="1184"/>
      <c r="O48" s="1184"/>
      <c r="P48" s="1184"/>
      <c r="Q48" s="1184"/>
      <c r="R48" s="1184"/>
      <c r="S48" s="1184"/>
      <c r="T48" s="1184"/>
      <c r="Y48" s="184"/>
      <c r="Z48" s="266"/>
      <c r="AA48" s="267" t="s">
        <v>207</v>
      </c>
      <c r="AB48" s="268">
        <v>159465.1</v>
      </c>
      <c r="AC48" s="269">
        <v>46759074.899999999</v>
      </c>
      <c r="AD48" s="270">
        <v>3339169.1966530001</v>
      </c>
      <c r="AE48" s="272" t="s">
        <v>219</v>
      </c>
      <c r="AF48" s="73"/>
    </row>
    <row r="49" spans="1:32" ht="14.25" customHeight="1" x14ac:dyDescent="0.3">
      <c r="A49" s="942" t="s">
        <v>238</v>
      </c>
      <c r="B49" s="943">
        <v>7</v>
      </c>
      <c r="C49" s="943">
        <v>3</v>
      </c>
      <c r="D49" s="426"/>
      <c r="M49" s="501" t="s">
        <v>6</v>
      </c>
      <c r="N49" s="1061">
        <v>2014</v>
      </c>
      <c r="O49" s="1062">
        <v>2015</v>
      </c>
      <c r="P49" s="1062">
        <v>2016</v>
      </c>
      <c r="Q49" s="651">
        <v>2017</v>
      </c>
      <c r="R49" s="651">
        <v>2025</v>
      </c>
      <c r="S49" s="651">
        <f>R49+1</f>
        <v>2026</v>
      </c>
      <c r="T49" s="651">
        <f t="shared" ref="T49:W49" si="3">S49+1</f>
        <v>2027</v>
      </c>
      <c r="U49" s="651">
        <f t="shared" si="3"/>
        <v>2028</v>
      </c>
      <c r="V49" s="651">
        <f t="shared" si="3"/>
        <v>2029</v>
      </c>
      <c r="W49" s="652">
        <f t="shared" si="3"/>
        <v>2030</v>
      </c>
      <c r="X49" s="640"/>
      <c r="Y49" s="184"/>
      <c r="Z49" s="261">
        <v>2015</v>
      </c>
      <c r="AA49" s="262" t="s">
        <v>206</v>
      </c>
      <c r="AB49" s="263">
        <v>64766.400000000001</v>
      </c>
      <c r="AC49" s="264">
        <v>56006893.600000001</v>
      </c>
      <c r="AD49" s="265">
        <v>3830424.8667979999</v>
      </c>
      <c r="AE49" s="271" t="s">
        <v>219</v>
      </c>
      <c r="AF49" s="73"/>
    </row>
    <row r="50" spans="1:32" ht="16.2" thickBot="1" x14ac:dyDescent="0.35">
      <c r="A50" s="944" t="s">
        <v>240</v>
      </c>
      <c r="B50" s="943">
        <v>4</v>
      </c>
      <c r="C50" s="943">
        <v>8</v>
      </c>
      <c r="D50" s="426"/>
      <c r="H50" s="1185"/>
      <c r="I50" s="1102"/>
      <c r="M50" s="649" t="s">
        <v>542</v>
      </c>
      <c r="N50" s="1063">
        <f>$AC$47*List2!$K$156/List2!$K$153+List1!$AC$57*List2!$K$157/List2!$K$154</f>
        <v>24212102.062507812</v>
      </c>
      <c r="O50" s="1064">
        <f>$AC$49*List2!$K$156/List2!$K$153+List1!$AC$59*List2!$K$157/List2!$K$154</f>
        <v>18919839.856199753</v>
      </c>
      <c r="P50" s="1064">
        <f>$AC$51*List2!$K$156/List2!$K$153+List1!$AC$61*List2!$K$157/List2!$K$154</f>
        <v>21826577.235253297</v>
      </c>
      <c r="Q50" s="642">
        <f>(N50+O50+P50)/3</f>
        <v>21652839.717986953</v>
      </c>
      <c r="R50" s="642">
        <f>('[1]SOUHRN PN VLAKŮ'!$J$7*'[2]Úspora času'!$BN$155+'[1]SOUHRN PN VLAKŮ'!$K$7*'[2]Úspora času'!$BO$155)*$AB$82</f>
        <v>59825281.616100006</v>
      </c>
      <c r="S50" s="642">
        <f>('[1]SOUHRN PN VLAKŮ'!$J$7*'[2]Úspora času'!$BN$156+'[1]SOUHRN PN VLAKŮ'!$K$7*'[2]Úspora času'!$BO$156)*$AB$82</f>
        <v>59825281.616100006</v>
      </c>
      <c r="T50" s="642">
        <f>('[1]SOUHRN PN VLAKŮ'!$M$7*'[2]Úspora času'!$CC$157+'[1]SOUHRN PN VLAKŮ'!$N$7*'[2]Úspora času'!$CA$157+'[1]SOUHRN PN VLAKŮ'!$O$7*'[2]Úspora času'!$CB$157)*$AB$82</f>
        <v>60291135.047150008</v>
      </c>
      <c r="U50" s="642">
        <f>('[1]SOUHRN PN VLAKŮ'!$M$7*'[2]Úspora času'!$CC$158+'[1]SOUHRN PN VLAKŮ'!$N$7*'[2]Úspora času'!$CA$158+'[1]SOUHRN PN VLAKŮ'!$O$7*'[2]Úspora času'!$CB$158)*$AB$82</f>
        <v>60291135.047150008</v>
      </c>
      <c r="V50" s="642">
        <f>('[1]SOUHRN PN VLAKŮ'!$M$7*'[2]Úspora času'!$CC$159+'[1]SOUHRN PN VLAKŮ'!$N$7*'[2]Úspora času'!$CA$159+'[1]SOUHRN PN VLAKŮ'!$O$7*'[2]Úspora času'!$CB$159)*$AB$82</f>
        <v>60291135.047150008</v>
      </c>
      <c r="W50" s="643">
        <f>('[1]SOUHRN PN VLAKŮ'!$M$7*'[2]Úspora času'!$CC$160+'[1]SOUHRN PN VLAKŮ'!$N$7*'[2]Úspora času'!$CA$160+'[1]SOUHRN PN VLAKŮ'!$O$7*'[2]Úspora času'!$CB$160)*$AB$82</f>
        <v>60291135.047150008</v>
      </c>
      <c r="X50" s="197"/>
      <c r="Y50" s="184"/>
      <c r="Z50" s="266"/>
      <c r="AA50" s="267" t="s">
        <v>207</v>
      </c>
      <c r="AB50" s="268">
        <v>159061</v>
      </c>
      <c r="AC50" s="269">
        <v>46344581.299999997</v>
      </c>
      <c r="AD50" s="270">
        <v>3316911.1987410001</v>
      </c>
      <c r="AE50" s="272" t="s">
        <v>219</v>
      </c>
      <c r="AF50" s="73"/>
    </row>
    <row r="51" spans="1:32" ht="15.6" x14ac:dyDescent="0.3">
      <c r="A51" s="944" t="s">
        <v>241</v>
      </c>
      <c r="B51" s="943">
        <v>1</v>
      </c>
      <c r="C51" s="943">
        <v>1</v>
      </c>
      <c r="D51" s="426"/>
      <c r="M51" s="650">
        <f>W49+1</f>
        <v>2031</v>
      </c>
      <c r="N51" s="653"/>
      <c r="O51" s="654"/>
      <c r="P51" s="655"/>
      <c r="Q51" s="651">
        <f>M51+1</f>
        <v>2032</v>
      </c>
      <c r="R51" s="651">
        <f>Q51+1</f>
        <v>2033</v>
      </c>
      <c r="S51" s="651">
        <f t="shared" ref="S51:W51" si="4">R51+1</f>
        <v>2034</v>
      </c>
      <c r="T51" s="651">
        <f t="shared" si="4"/>
        <v>2035</v>
      </c>
      <c r="U51" s="651">
        <f t="shared" si="4"/>
        <v>2036</v>
      </c>
      <c r="V51" s="651">
        <f t="shared" si="4"/>
        <v>2037</v>
      </c>
      <c r="W51" s="652">
        <f t="shared" si="4"/>
        <v>2038</v>
      </c>
      <c r="X51" s="640"/>
      <c r="Z51" s="261">
        <v>2016</v>
      </c>
      <c r="AA51" s="262" t="s">
        <v>206</v>
      </c>
      <c r="AB51" s="263">
        <v>77337.899999999994</v>
      </c>
      <c r="AC51" s="264">
        <v>64626754.899999999</v>
      </c>
      <c r="AD51" s="265">
        <v>3781114.6584140002</v>
      </c>
      <c r="AE51" s="271" t="s">
        <v>219</v>
      </c>
      <c r="AF51" s="184"/>
    </row>
    <row r="52" spans="1:32" ht="16.2" thickBot="1" x14ac:dyDescent="0.35">
      <c r="A52" s="1186" t="s">
        <v>289</v>
      </c>
      <c r="B52" s="1186"/>
      <c r="C52" s="1186"/>
      <c r="D52" s="425"/>
      <c r="M52" s="644">
        <f>('[1]SOUHRN PN VLAKŮ'!$M$7*'[2]Úspora času'!$CC$161+'[1]SOUHRN PN VLAKŮ'!$N$7*'[2]Úspora času'!$CA$161+'[1]SOUHRN PN VLAKŮ'!$O$7*'[2]Úspora času'!$CB$161)*$AB$82</f>
        <v>57487930.236450009</v>
      </c>
      <c r="N52" s="642"/>
      <c r="O52" s="642"/>
      <c r="P52" s="642"/>
      <c r="Q52" s="642">
        <f>('[1]SOUHRN PN VLAKŮ'!$M$7*'[2]Úspora času'!$CC$162+'[1]SOUHRN PN VLAKŮ'!$N$7*'[2]Úspora času'!$CA$162+'[1]SOUHRN PN VLAKŮ'!$O$7*'[2]Úspora času'!$CB$162)*$AB$82</f>
        <v>55189989.450750008</v>
      </c>
      <c r="R52" s="642">
        <f>('[1]SOUHRN PN VLAKŮ'!$M$7*'[2]Úspora času'!$CC$163+'[1]SOUHRN PN VLAKŮ'!$N$7*'[2]Úspora času'!$CA$163+'[1]SOUHRN PN VLAKŮ'!$O$7*'[2]Úspora času'!$CB$163)*$AB$82</f>
        <v>51793604.674700007</v>
      </c>
      <c r="S52" s="642">
        <f>('[1]SOUHRN PN VLAKŮ'!$M$7*'[2]Úspora času'!$CC$164+'[1]SOUHRN PN VLAKŮ'!$N$7*'[2]Úspora času'!$CA$164+'[1]SOUHRN PN VLAKŮ'!$O$7*'[2]Úspora času'!$CB$164)*$AB$82</f>
        <v>49495663.889000006</v>
      </c>
      <c r="T52" s="642">
        <f>('[1]SOUHRN PN VLAKŮ'!$M$7*'[2]Úspora času'!$CC$165+'[1]SOUHRN PN VLAKŮ'!$N$7*'[2]Úspora času'!$CA$165+'[1]SOUHRN PN VLAKŮ'!$O$7*'[2]Úspora času'!$CB$165)*$AB$82</f>
        <v>46692459.078300007</v>
      </c>
      <c r="U52" s="642">
        <f>('[1]SOUHRN PN VLAKŮ'!$M$7*'[2]Úspora času'!$CC$166+'[1]SOUHRN PN VLAKŮ'!$N$7*'[2]Úspora času'!$CA$166+'[1]SOUHRN PN VLAKŮ'!$O$7*'[2]Úspora času'!$CB$166)*$AB$82</f>
        <v>47790903.068650007</v>
      </c>
      <c r="V52" s="642">
        <f>('[1]SOUHRN PN VLAKŮ'!$M$7*'[2]Úspora času'!$CC$167+'[1]SOUHRN PN VLAKŮ'!$N$7*'[2]Úspora času'!$CA$167+'[1]SOUHRN PN VLAKŮ'!$O$7*'[2]Úspora času'!$CB$167)*$AB$82</f>
        <v>49495663.889000006</v>
      </c>
      <c r="W52" s="643">
        <f>('[1]SOUHRN PN VLAKŮ'!$M$7*'[2]Úspora času'!$CC$168+'[1]SOUHRN PN VLAKŮ'!$N$7*'[2]Úspora času'!$CA$168+'[1]SOUHRN PN VLAKŮ'!$O$7*'[2]Úspora času'!$CB$168)*$AB$82</f>
        <v>50695160.684350006</v>
      </c>
      <c r="X52" s="197"/>
      <c r="Z52" s="266"/>
      <c r="AA52" s="267" t="s">
        <v>207</v>
      </c>
      <c r="AB52" s="268">
        <v>164424.70000000001</v>
      </c>
      <c r="AC52" s="269">
        <v>49188353.5</v>
      </c>
      <c r="AD52" s="270">
        <v>3486319.4931950001</v>
      </c>
      <c r="AE52" s="272" t="s">
        <v>219</v>
      </c>
      <c r="AF52" s="184"/>
    </row>
    <row r="53" spans="1:32" ht="15" customHeight="1" thickBot="1" x14ac:dyDescent="0.35">
      <c r="A53" s="1076" t="s">
        <v>245</v>
      </c>
      <c r="B53" s="1076"/>
      <c r="C53" s="1076"/>
      <c r="D53" s="421"/>
      <c r="M53" s="650">
        <f>W51+1</f>
        <v>2039</v>
      </c>
      <c r="N53" s="653"/>
      <c r="O53" s="653"/>
      <c r="P53" s="653"/>
      <c r="Q53" s="651">
        <f>M53+1</f>
        <v>2040</v>
      </c>
      <c r="R53" s="651">
        <f>Q53+1</f>
        <v>2041</v>
      </c>
      <c r="S53" s="651">
        <f t="shared" ref="S53:W53" si="5">R53+1</f>
        <v>2042</v>
      </c>
      <c r="T53" s="651">
        <f t="shared" si="5"/>
        <v>2043</v>
      </c>
      <c r="U53" s="651">
        <f t="shared" si="5"/>
        <v>2044</v>
      </c>
      <c r="V53" s="651">
        <f t="shared" si="5"/>
        <v>2045</v>
      </c>
      <c r="W53" s="652">
        <f t="shared" si="5"/>
        <v>2046</v>
      </c>
      <c r="X53" s="640"/>
      <c r="Z53" s="199"/>
      <c r="AA53" s="199"/>
      <c r="AB53" s="199"/>
      <c r="AC53" s="199"/>
      <c r="AD53" s="199"/>
      <c r="AE53" s="273"/>
      <c r="AF53" s="184"/>
    </row>
    <row r="54" spans="1:32" ht="16.2" thickBot="1" x14ac:dyDescent="0.35">
      <c r="A54" s="945" t="s">
        <v>149</v>
      </c>
      <c r="B54" s="946" t="s">
        <v>150</v>
      </c>
      <c r="C54" s="946" t="s">
        <v>151</v>
      </c>
      <c r="D54" s="211"/>
      <c r="M54" s="644">
        <f>('[1]SOUHRN PN VLAKŮ'!$M$7*'[2]Úspora času'!$CC$169+'[1]SOUHRN PN VLAKŮ'!$N$7*'[2]Úspora času'!$CA$169+'[1]SOUHRN PN VLAKŮ'!$O$7*'[2]Úspora času'!$CB$169)*$AB$82</f>
        <v>52892048.665050007</v>
      </c>
      <c r="N54" s="656"/>
      <c r="O54" s="656"/>
      <c r="P54" s="656"/>
      <c r="Q54" s="642">
        <f>('[1]SOUHRN PN VLAKŮ'!$M$7*'[2]Úspora času'!$CC$170+'[1]SOUHRN PN VLAKŮ'!$N$7*'[2]Úspora času'!$CA$170+'[1]SOUHRN PN VLAKŮ'!$O$7*'[2]Úspora času'!$CB$170)*$AB$82</f>
        <v>54596809.485400006</v>
      </c>
      <c r="R54" s="642">
        <f>('[1]SOUHRN PN VLAKŮ'!$M$7*'[2]Úspora času'!$CC$171+'[1]SOUHRN PN VLAKŮ'!$N$7*'[2]Úspora času'!$CA$171+'[1]SOUHRN PN VLAKŮ'!$O$7*'[2]Úspora času'!$CB$171)*$AB$82</f>
        <v>55796306.280750006</v>
      </c>
      <c r="S54" s="642">
        <f>('[1]SOUHRN PN VLAKŮ'!$M$7*'[2]Úspora času'!$CC$172+'[1]SOUHRN PN VLAKŮ'!$N$7*'[2]Úspora času'!$CA$172+'[1]SOUHRN PN VLAKŮ'!$O$7*'[2]Úspora času'!$CB$172)*$AB$82</f>
        <v>57487930.236450009</v>
      </c>
      <c r="T54" s="642">
        <f>('[1]SOUHRN PN VLAKŮ'!$M$7*'[2]Úspora času'!$CC$173+'[1]SOUHRN PN VLAKŮ'!$N$7*'[2]Úspora času'!$CA$173+'[1]SOUHRN PN VLAKŮ'!$O$7*'[2]Úspora času'!$CB$173)*$AB$82</f>
        <v>59192691.056800008</v>
      </c>
      <c r="U54" s="642">
        <f>('[1]SOUHRN PN VLAKŮ'!$M$7*'[2]Úspora času'!$CC$174+'[1]SOUHRN PN VLAKŮ'!$N$7*'[2]Úspora času'!$CA$174+'[1]SOUHRN PN VLAKŮ'!$O$7*'[2]Úspora času'!$CB$174)*$AB$82</f>
        <v>60897451.877150007</v>
      </c>
      <c r="V54" s="642">
        <f>('[1]SOUHRN PN VLAKŮ'!$M$7*'[2]Úspora času'!$CC$175+'[1]SOUHRN PN VLAKŮ'!$N$7*'[2]Úspora času'!$CA$175+'[1]SOUHRN PN VLAKŮ'!$O$7*'[2]Úspora času'!$CB$175)*$AB$82</f>
        <v>62589075.832850009</v>
      </c>
      <c r="W54" s="643">
        <f>('[1]SOUHRN PN VLAKŮ'!$M$7*'[2]Úspora času'!$CC$176+'[1]SOUHRN PN VLAKŮ'!$N$7*'[2]Úspora času'!$CA$176+'[1]SOUHRN PN VLAKŮ'!$O$7*'[2]Úspora času'!$CB$176)*$AB$82</f>
        <v>64293836.653200008</v>
      </c>
      <c r="X54" s="197"/>
      <c r="Z54" s="256" t="s">
        <v>220</v>
      </c>
      <c r="AA54" s="199"/>
      <c r="AB54" s="199"/>
      <c r="AC54" s="199"/>
      <c r="AD54" s="199"/>
      <c r="AE54" s="273"/>
      <c r="AF54" s="184"/>
    </row>
    <row r="55" spans="1:32" ht="16.2" thickBot="1" x14ac:dyDescent="0.35">
      <c r="A55" s="938" t="s">
        <v>216</v>
      </c>
      <c r="B55" s="939">
        <v>0</v>
      </c>
      <c r="C55" s="939">
        <v>0</v>
      </c>
      <c r="D55" s="211"/>
      <c r="H55" s="181">
        <v>2017</v>
      </c>
      <c r="I55" s="181" t="s">
        <v>180</v>
      </c>
      <c r="J55" s="181" t="s">
        <v>181</v>
      </c>
      <c r="K55" s="181" t="s">
        <v>182</v>
      </c>
      <c r="L55" s="184"/>
      <c r="M55" s="650">
        <f>W53+1</f>
        <v>2047</v>
      </c>
      <c r="N55" s="657"/>
      <c r="O55" s="657"/>
      <c r="P55" s="657"/>
      <c r="Q55" s="651">
        <f>M55+1</f>
        <v>2048</v>
      </c>
      <c r="R55" s="651">
        <f>Q55+1</f>
        <v>2049</v>
      </c>
      <c r="S55" s="651">
        <f t="shared" ref="S55:W55" si="6">R55+1</f>
        <v>2050</v>
      </c>
      <c r="T55" s="651">
        <f t="shared" si="6"/>
        <v>2051</v>
      </c>
      <c r="U55" s="651">
        <f t="shared" si="6"/>
        <v>2052</v>
      </c>
      <c r="V55" s="651">
        <f>U55+1</f>
        <v>2053</v>
      </c>
      <c r="W55" s="652">
        <f t="shared" si="6"/>
        <v>2054</v>
      </c>
      <c r="X55" s="357"/>
      <c r="Z55" s="256"/>
      <c r="AA55" s="199"/>
      <c r="AB55" s="199"/>
      <c r="AC55" s="199"/>
      <c r="AD55" s="199"/>
      <c r="AE55" s="273"/>
    </row>
    <row r="56" spans="1:32" ht="16.2" thickBot="1" x14ac:dyDescent="0.35">
      <c r="A56" s="938" t="s">
        <v>215</v>
      </c>
      <c r="B56" s="939">
        <v>10</v>
      </c>
      <c r="C56" s="939">
        <v>10</v>
      </c>
      <c r="D56" s="211"/>
      <c r="H56" s="181" t="s">
        <v>168</v>
      </c>
      <c r="I56" s="181">
        <v>22</v>
      </c>
      <c r="J56" s="181">
        <v>4</v>
      </c>
      <c r="K56" s="181">
        <v>5</v>
      </c>
      <c r="L56" s="184"/>
      <c r="M56" s="644">
        <f>('[1]SOUHRN PN VLAKŮ'!$M$7*'[2]Úspora času'!$CC$177+'[1]SOUHRN PN VLAKŮ'!$N$7*'[2]Úspora času'!$CA$177+'[1]SOUHRN PN VLAKŮ'!$O$7*'[2]Úspora času'!$CB$177)*$AB$82</f>
        <v>65392280.643550009</v>
      </c>
      <c r="N56" s="656"/>
      <c r="O56" s="656"/>
      <c r="P56" s="656"/>
      <c r="Q56" s="642">
        <f>('[1]SOUHRN PN VLAKŮ'!$M$7*'[2]Úspora času'!$CC$178+'[1]SOUHRN PN VLAKŮ'!$N$7*'[2]Úspora času'!$CA$178+'[1]SOUHRN PN VLAKŮ'!$O$7*'[2]Úspora času'!$CB$178)*$AB$82</f>
        <v>67690221.429250017</v>
      </c>
      <c r="R56" s="642">
        <f>('[1]SOUHRN PN VLAKŮ'!$M$7*'[2]Úspora času'!$CC$179+'[1]SOUHRN PN VLAKŮ'!$N$7*'[2]Úspora času'!$CA$179+'[1]SOUHRN PN VLAKŮ'!$O$7*'[2]Úspora času'!$CB$179)*$AB$82</f>
        <v>68889718.224600017</v>
      </c>
      <c r="S56" s="642">
        <f>('[1]SOUHRN PN VLAKŮ'!$M$7*'[2]Úspora času'!$CC$180+'[1]SOUHRN PN VLAKŮ'!$N$7*'[2]Úspora času'!$CA$180+'[1]SOUHRN PN VLAKŮ'!$O$7*'[2]Úspora času'!$CB$180)*$AB$82</f>
        <v>70594479.044950008</v>
      </c>
      <c r="T56" s="642">
        <f>('[1]SOUHRN PN VLAKŮ'!$M$7*'[2]Úspora času'!$CC$181+'[1]SOUHRN PN VLAKŮ'!$N$7*'[2]Úspora času'!$CA$181+'[1]SOUHRN PN VLAKŮ'!$O$7*'[2]Úspora času'!$CB$181)*$AB$82</f>
        <v>72892419.830650017</v>
      </c>
      <c r="U56" s="642">
        <f>('[1]SOUHRN PN VLAKŮ'!$M$7*'[2]Úspora času'!$CC$182+'[1]SOUHRN PN VLAKŮ'!$N$7*'[2]Úspora času'!$CA$182+'[1]SOUHRN PN VLAKŮ'!$O$7*'[2]Úspora času'!$CB$182)*$AB$82</f>
        <v>73990863.82100001</v>
      </c>
      <c r="V56" s="642">
        <f>('[1]SOUHRN PN VLAKŮ'!$M$7*'[2]Úspora času'!$CC$183+'[1]SOUHRN PN VLAKŮ'!$N$7*'[2]Úspora času'!$CA$183+'[1]SOUHRN PN VLAKŮ'!$O$7*'[2]Úspora času'!$CB$183)*$AB$82</f>
        <v>75190360.61635001</v>
      </c>
      <c r="W56" s="643">
        <f>('[1]SOUHRN PN VLAKŮ'!$M$7*'[2]Úspora času'!$CC$184+'[1]SOUHRN PN VLAKŮ'!$N$7*'[2]Úspora času'!$CA$184+'[1]SOUHRN PN VLAKŮ'!$O$7*'[2]Úspora času'!$CB$184)*$AB$82</f>
        <v>77387248.597050011</v>
      </c>
      <c r="Z56" s="257"/>
      <c r="AA56" s="258"/>
      <c r="AB56" s="259" t="s">
        <v>21</v>
      </c>
      <c r="AC56" s="260" t="s">
        <v>22</v>
      </c>
      <c r="AD56" s="168" t="s">
        <v>204</v>
      </c>
      <c r="AE56" s="274" t="s">
        <v>205</v>
      </c>
    </row>
    <row r="57" spans="1:32" ht="29.4" thickBot="1" x14ac:dyDescent="0.35">
      <c r="A57" s="938" t="s">
        <v>152</v>
      </c>
      <c r="B57" s="939">
        <v>0</v>
      </c>
      <c r="C57" s="939">
        <v>0</v>
      </c>
      <c r="D57" s="211"/>
      <c r="H57" s="181" t="s">
        <v>169</v>
      </c>
      <c r="I57" s="181">
        <v>20</v>
      </c>
      <c r="J57" s="181">
        <v>4</v>
      </c>
      <c r="K57" s="181">
        <v>4</v>
      </c>
      <c r="L57" s="184"/>
      <c r="M57" s="184"/>
      <c r="R57" s="645" t="s">
        <v>138</v>
      </c>
      <c r="S57" s="646">
        <v>2015</v>
      </c>
      <c r="T57" s="647">
        <v>2016</v>
      </c>
      <c r="U57" s="647">
        <v>2017</v>
      </c>
      <c r="V57" s="648" t="s">
        <v>210</v>
      </c>
      <c r="Z57" s="261">
        <v>2014</v>
      </c>
      <c r="AA57" s="262" t="s">
        <v>206</v>
      </c>
      <c r="AB57" s="263">
        <v>2941.4</v>
      </c>
      <c r="AC57" s="264">
        <v>702255.4</v>
      </c>
      <c r="AD57" s="265">
        <v>61176.401440000001</v>
      </c>
      <c r="AE57" s="271" t="s">
        <v>221</v>
      </c>
    </row>
    <row r="58" spans="1:32" ht="16.2" thickBot="1" x14ac:dyDescent="0.35">
      <c r="A58" s="940" t="s">
        <v>153</v>
      </c>
      <c r="B58" s="941">
        <v>12</v>
      </c>
      <c r="C58" s="941">
        <v>11</v>
      </c>
      <c r="D58" s="211"/>
      <c r="H58" s="181" t="s">
        <v>170</v>
      </c>
      <c r="I58" s="181">
        <v>21</v>
      </c>
      <c r="J58" s="181">
        <v>5</v>
      </c>
      <c r="K58" s="181">
        <v>5</v>
      </c>
      <c r="L58" s="72"/>
      <c r="M58" s="72"/>
      <c r="N58" s="29"/>
      <c r="O58" s="29"/>
      <c r="R58" s="65" t="s">
        <v>131</v>
      </c>
      <c r="S58" s="63"/>
      <c r="T58" s="275"/>
      <c r="U58" s="159"/>
      <c r="V58" s="160"/>
      <c r="Z58" s="266"/>
      <c r="AA58" s="267" t="s">
        <v>207</v>
      </c>
      <c r="AB58" s="268">
        <v>142665.60000000001</v>
      </c>
      <c r="AC58" s="269">
        <v>11243155</v>
      </c>
      <c r="AD58" s="270">
        <v>1123754.3548000001</v>
      </c>
      <c r="AE58" s="272" t="s">
        <v>221</v>
      </c>
    </row>
    <row r="59" spans="1:32" ht="15.6" x14ac:dyDescent="0.3">
      <c r="A59" s="942" t="s">
        <v>238</v>
      </c>
      <c r="B59" s="944">
        <v>3</v>
      </c>
      <c r="C59" s="944">
        <v>7</v>
      </c>
      <c r="D59" s="211"/>
      <c r="H59" s="181" t="s">
        <v>171</v>
      </c>
      <c r="I59" s="181">
        <v>20</v>
      </c>
      <c r="J59" s="181">
        <v>4</v>
      </c>
      <c r="K59" s="181">
        <v>6</v>
      </c>
      <c r="L59" s="72"/>
      <c r="M59" s="72"/>
      <c r="N59" s="29"/>
      <c r="O59" s="29"/>
      <c r="R59" s="64" t="s">
        <v>132</v>
      </c>
      <c r="S59" s="62"/>
      <c r="T59" s="276"/>
      <c r="U59" s="276"/>
      <c r="V59" s="61"/>
      <c r="Z59" s="261">
        <v>2015</v>
      </c>
      <c r="AA59" s="262" t="s">
        <v>206</v>
      </c>
      <c r="AB59" s="263">
        <v>2566.1</v>
      </c>
      <c r="AC59" s="264">
        <v>474624.8</v>
      </c>
      <c r="AD59" s="265">
        <v>55275.652552</v>
      </c>
      <c r="AE59" s="271" t="s">
        <v>221</v>
      </c>
    </row>
    <row r="60" spans="1:32" ht="16.2" thickBot="1" x14ac:dyDescent="0.35">
      <c r="A60" s="944" t="s">
        <v>240</v>
      </c>
      <c r="B60" s="947">
        <v>8</v>
      </c>
      <c r="C60" s="947">
        <v>4</v>
      </c>
      <c r="D60" s="23"/>
      <c r="H60" s="181" t="s">
        <v>172</v>
      </c>
      <c r="I60" s="181">
        <v>21</v>
      </c>
      <c r="J60" s="181">
        <v>4</v>
      </c>
      <c r="K60" s="181">
        <v>6</v>
      </c>
      <c r="L60" s="72"/>
      <c r="M60" s="72"/>
      <c r="N60" s="29"/>
      <c r="O60" s="29"/>
      <c r="R60" s="64" t="s">
        <v>133</v>
      </c>
      <c r="S60" s="62"/>
      <c r="T60" s="276"/>
      <c r="U60" s="276"/>
      <c r="V60" s="61"/>
      <c r="Z60" s="266"/>
      <c r="AA60" s="267" t="s">
        <v>207</v>
      </c>
      <c r="AB60" s="268">
        <v>143506.9</v>
      </c>
      <c r="AC60" s="269">
        <v>11326339.800000001</v>
      </c>
      <c r="AD60" s="270">
        <v>1130890.358368</v>
      </c>
      <c r="AE60" s="272" t="s">
        <v>221</v>
      </c>
    </row>
    <row r="61" spans="1:32" ht="15.6" x14ac:dyDescent="0.3">
      <c r="A61" s="944" t="s">
        <v>241</v>
      </c>
      <c r="B61" s="947">
        <v>1</v>
      </c>
      <c r="C61" s="942">
        <v>1</v>
      </c>
      <c r="D61" s="212"/>
      <c r="H61" s="181" t="s">
        <v>173</v>
      </c>
      <c r="I61" s="181">
        <v>21</v>
      </c>
      <c r="J61" s="181">
        <v>5</v>
      </c>
      <c r="K61" s="181">
        <v>4</v>
      </c>
      <c r="L61" s="72"/>
      <c r="M61" s="72"/>
      <c r="N61" s="29"/>
      <c r="O61" s="29"/>
      <c r="R61" s="64" t="s">
        <v>134</v>
      </c>
      <c r="S61" s="62"/>
      <c r="T61" s="276"/>
      <c r="U61" s="276"/>
      <c r="V61" s="61"/>
      <c r="Z61" s="261">
        <v>2016</v>
      </c>
      <c r="AA61" s="262" t="s">
        <v>206</v>
      </c>
      <c r="AB61" s="263">
        <v>2125.1999999999998</v>
      </c>
      <c r="AC61" s="264">
        <v>307630.40000000002</v>
      </c>
      <c r="AD61" s="265">
        <v>28608.673632000002</v>
      </c>
      <c r="AE61" s="271" t="s">
        <v>221</v>
      </c>
    </row>
    <row r="62" spans="1:32" ht="16.2" thickBot="1" x14ac:dyDescent="0.35">
      <c r="A62" s="948"/>
      <c r="B62" s="949"/>
      <c r="C62" s="950"/>
      <c r="D62" s="211"/>
      <c r="E62" s="59"/>
      <c r="G62" s="59"/>
      <c r="H62" s="181" t="s">
        <v>174</v>
      </c>
      <c r="I62" s="181">
        <v>20</v>
      </c>
      <c r="J62" s="181">
        <v>4</v>
      </c>
      <c r="K62" s="181">
        <v>7</v>
      </c>
      <c r="L62" s="72"/>
      <c r="M62" s="72"/>
      <c r="N62" s="29"/>
      <c r="O62" s="29"/>
      <c r="R62" s="64" t="s">
        <v>135</v>
      </c>
      <c r="S62" s="62"/>
      <c r="T62" s="276"/>
      <c r="U62" s="276"/>
      <c r="V62" s="61"/>
      <c r="Z62" s="266"/>
      <c r="AA62" s="267" t="s">
        <v>207</v>
      </c>
      <c r="AB62" s="268">
        <v>150026.79999999999</v>
      </c>
      <c r="AC62" s="269">
        <v>11600450.4</v>
      </c>
      <c r="AD62" s="270">
        <v>1175016.984064</v>
      </c>
      <c r="AE62" s="272" t="s">
        <v>221</v>
      </c>
    </row>
    <row r="63" spans="1:32" ht="15" thickBot="1" x14ac:dyDescent="0.35">
      <c r="A63" s="1140" t="s">
        <v>289</v>
      </c>
      <c r="B63" s="1140"/>
      <c r="C63" s="1140"/>
      <c r="D63" s="425"/>
      <c r="E63" s="60"/>
      <c r="G63" s="60"/>
      <c r="H63" s="181" t="s">
        <v>175</v>
      </c>
      <c r="I63" s="181">
        <v>23</v>
      </c>
      <c r="J63" s="181">
        <v>4</v>
      </c>
      <c r="K63" s="181">
        <v>4</v>
      </c>
      <c r="L63" s="72"/>
      <c r="M63" s="72"/>
      <c r="N63" s="29"/>
      <c r="O63" s="29"/>
      <c r="R63" s="64" t="s">
        <v>136</v>
      </c>
      <c r="S63" s="62"/>
      <c r="T63" s="276"/>
      <c r="U63" s="276"/>
      <c r="V63" s="61"/>
    </row>
    <row r="64" spans="1:32" ht="57.75" customHeight="1" thickBot="1" x14ac:dyDescent="0.35">
      <c r="A64" s="1076" t="s">
        <v>246</v>
      </c>
      <c r="B64" s="1076"/>
      <c r="C64" s="1076"/>
      <c r="D64" s="421"/>
      <c r="E64" s="16"/>
      <c r="F64" s="200"/>
      <c r="G64" s="16"/>
      <c r="H64" s="235" t="s">
        <v>176</v>
      </c>
      <c r="I64" s="181">
        <v>19</v>
      </c>
      <c r="J64" s="181">
        <v>5</v>
      </c>
      <c r="K64" s="181">
        <v>6</v>
      </c>
      <c r="L64" s="72"/>
      <c r="M64" s="72"/>
      <c r="N64" s="29"/>
      <c r="O64" s="29"/>
      <c r="R64" s="69" t="s">
        <v>137</v>
      </c>
      <c r="S64" s="70"/>
      <c r="T64" s="277"/>
      <c r="U64" s="277"/>
      <c r="V64" s="71"/>
      <c r="W64" s="478" t="s">
        <v>529</v>
      </c>
      <c r="X64" s="479" t="s">
        <v>400</v>
      </c>
      <c r="Y64" s="717" t="s">
        <v>407</v>
      </c>
      <c r="Z64" s="598" t="s">
        <v>408</v>
      </c>
      <c r="AA64" s="481">
        <v>2016</v>
      </c>
      <c r="AB64" s="2" t="s">
        <v>398</v>
      </c>
      <c r="AC64" s="2" t="s">
        <v>399</v>
      </c>
    </row>
    <row r="65" spans="1:32" ht="15" thickBot="1" x14ac:dyDescent="0.35">
      <c r="A65" s="945" t="s">
        <v>149</v>
      </c>
      <c r="B65" s="946" t="s">
        <v>150</v>
      </c>
      <c r="C65" s="946" t="s">
        <v>151</v>
      </c>
      <c r="D65" s="211"/>
      <c r="E65" s="16"/>
      <c r="F65" s="200"/>
      <c r="G65" s="16"/>
      <c r="H65" s="235" t="s">
        <v>177</v>
      </c>
      <c r="I65" s="181">
        <v>23</v>
      </c>
      <c r="J65" s="181">
        <v>4</v>
      </c>
      <c r="K65" s="181">
        <v>4</v>
      </c>
      <c r="L65" s="72"/>
      <c r="M65" s="72"/>
      <c r="N65" s="29"/>
      <c r="O65" s="29"/>
      <c r="W65" s="520" t="s">
        <v>131</v>
      </c>
      <c r="X65" s="480">
        <f>AB65*$P$5+AC65*$P$6</f>
        <v>2616512</v>
      </c>
      <c r="Y65" s="718">
        <f>1.7*X65</f>
        <v>4448070.3999999994</v>
      </c>
      <c r="Z65" s="599">
        <f>Y65*1/6</f>
        <v>741345.06666666653</v>
      </c>
      <c r="AB65" s="2">
        <v>7836</v>
      </c>
      <c r="AC65" s="2">
        <v>5680</v>
      </c>
    </row>
    <row r="66" spans="1:32" ht="15" thickBot="1" x14ac:dyDescent="0.35">
      <c r="A66" s="938" t="s">
        <v>216</v>
      </c>
      <c r="B66" s="939">
        <v>0</v>
      </c>
      <c r="C66" s="939">
        <v>0</v>
      </c>
      <c r="D66" s="211"/>
      <c r="E66" s="16"/>
      <c r="F66" s="200"/>
      <c r="G66" s="16"/>
      <c r="H66" s="235" t="s">
        <v>178</v>
      </c>
      <c r="I66" s="181">
        <v>22</v>
      </c>
      <c r="J66" s="181">
        <v>3</v>
      </c>
      <c r="K66" s="181">
        <v>5</v>
      </c>
      <c r="L66" s="72"/>
      <c r="M66" s="72"/>
      <c r="N66" s="29"/>
      <c r="O66" s="29"/>
      <c r="W66" s="521" t="s">
        <v>132</v>
      </c>
      <c r="X66" s="519">
        <f>AB66*$P$5+AC66*$P$6</f>
        <v>50429</v>
      </c>
      <c r="Y66" s="719">
        <f>25*X66</f>
        <v>1260725</v>
      </c>
      <c r="Z66" s="600">
        <f>Y66*1/3</f>
        <v>420241.66666666669</v>
      </c>
      <c r="AB66" s="2">
        <v>162</v>
      </c>
      <c r="AC66" s="2">
        <v>85</v>
      </c>
    </row>
    <row r="67" spans="1:32" ht="17.25" customHeight="1" thickBot="1" x14ac:dyDescent="0.35">
      <c r="A67" s="938" t="s">
        <v>215</v>
      </c>
      <c r="B67" s="939">
        <v>0</v>
      </c>
      <c r="C67" s="939">
        <v>0</v>
      </c>
      <c r="D67" s="211"/>
      <c r="E67" s="16"/>
      <c r="F67" s="200"/>
      <c r="G67" s="16"/>
      <c r="H67" s="235" t="s">
        <v>179</v>
      </c>
      <c r="I67" s="179">
        <v>18</v>
      </c>
      <c r="J67" s="179">
        <v>5</v>
      </c>
      <c r="K67" s="179">
        <v>8</v>
      </c>
      <c r="L67" s="72"/>
      <c r="M67" s="72"/>
      <c r="N67" s="29"/>
      <c r="O67" s="29"/>
      <c r="Q67" s="1145"/>
      <c r="T67" s="1072"/>
      <c r="W67" s="516" t="s">
        <v>133</v>
      </c>
      <c r="X67" s="517"/>
      <c r="Y67" s="522"/>
      <c r="Z67" s="518"/>
    </row>
    <row r="68" spans="1:32" ht="14.4" thickBot="1" x14ac:dyDescent="0.3">
      <c r="A68" s="938" t="s">
        <v>152</v>
      </c>
      <c r="B68" s="939">
        <v>0</v>
      </c>
      <c r="C68" s="939">
        <v>0</v>
      </c>
      <c r="D68" s="211"/>
      <c r="E68" s="59"/>
      <c r="G68" s="59"/>
      <c r="H68" s="181"/>
      <c r="I68" s="180">
        <f>SUM(I56:I67)</f>
        <v>250</v>
      </c>
      <c r="J68" s="180">
        <f>SUM(J56:J67)</f>
        <v>51</v>
      </c>
      <c r="K68" s="180">
        <f>SUM(K56:K67)</f>
        <v>64</v>
      </c>
      <c r="L68" s="178">
        <f>SUM(I68:K68)</f>
        <v>365</v>
      </c>
      <c r="M68" s="207" t="s">
        <v>209</v>
      </c>
      <c r="N68" s="29" t="s">
        <v>228</v>
      </c>
      <c r="O68" s="29"/>
      <c r="Q68" s="1146"/>
      <c r="T68" s="1072"/>
    </row>
    <row r="69" spans="1:32" ht="43.8" thickBot="1" x14ac:dyDescent="0.3">
      <c r="A69" s="940" t="s">
        <v>153</v>
      </c>
      <c r="B69" s="941">
        <v>14</v>
      </c>
      <c r="C69" s="941">
        <v>15</v>
      </c>
      <c r="D69" s="211"/>
      <c r="E69" s="22"/>
      <c r="G69" s="22"/>
      <c r="H69" s="22"/>
      <c r="I69" s="22"/>
      <c r="Q69" s="1146"/>
      <c r="T69" s="1072"/>
      <c r="W69" s="478" t="s">
        <v>530</v>
      </c>
      <c r="X69" s="479" t="s">
        <v>400</v>
      </c>
      <c r="Y69" s="601" t="s">
        <v>407</v>
      </c>
      <c r="Z69" s="523" t="s">
        <v>408</v>
      </c>
      <c r="AA69" s="481">
        <v>2016</v>
      </c>
      <c r="AB69" s="2" t="s">
        <v>398</v>
      </c>
      <c r="AC69" s="2" t="s">
        <v>399</v>
      </c>
    </row>
    <row r="70" spans="1:32" ht="15" thickBot="1" x14ac:dyDescent="0.35">
      <c r="A70" s="944" t="s">
        <v>241</v>
      </c>
      <c r="B70" s="944">
        <v>1</v>
      </c>
      <c r="C70" s="944">
        <v>1</v>
      </c>
      <c r="D70" s="211"/>
      <c r="E70" s="22"/>
      <c r="G70" s="144"/>
      <c r="H70" s="144" t="s">
        <v>183</v>
      </c>
      <c r="I70" s="146"/>
      <c r="Q70" s="1146"/>
      <c r="T70" s="1072"/>
      <c r="W70" s="720" t="s">
        <v>131</v>
      </c>
      <c r="X70" s="721">
        <f>AB70*$P$5+AC70*$P$6</f>
        <v>853637</v>
      </c>
      <c r="Y70" s="722">
        <f>1.7*X70</f>
        <v>1451182.9</v>
      </c>
      <c r="Z70" s="723">
        <f>Y70*1/6</f>
        <v>241863.81666666665</v>
      </c>
      <c r="AB70" s="2">
        <v>2483</v>
      </c>
      <c r="AC70" s="2">
        <v>2017</v>
      </c>
    </row>
    <row r="71" spans="1:32" ht="16.5" customHeight="1" x14ac:dyDescent="0.25">
      <c r="A71" s="1186" t="s">
        <v>290</v>
      </c>
      <c r="B71" s="1186"/>
      <c r="C71" s="1186"/>
      <c r="D71" s="425"/>
      <c r="E71" s="144"/>
      <c r="F71" s="144"/>
      <c r="G71" s="147" t="s">
        <v>184</v>
      </c>
      <c r="H71" s="148">
        <f>I68*(G84+G91)+J68*(H84+H91)+K68*(I84+I91)</f>
        <v>724375.5555555555</v>
      </c>
      <c r="I71" s="149" t="s">
        <v>187</v>
      </c>
      <c r="J71" s="145"/>
      <c r="K71" s="184"/>
      <c r="L71" s="188" t="s">
        <v>229</v>
      </c>
      <c r="M71" s="189">
        <f>$I$68*(G84+G91)+$J$68*(H84+H91)+$K$68*(I84+I91)</f>
        <v>724375.5555555555</v>
      </c>
      <c r="N71" s="335" t="s">
        <v>232</v>
      </c>
      <c r="O71" s="220"/>
      <c r="P71" s="2" t="s">
        <v>367</v>
      </c>
      <c r="Q71" s="1145"/>
      <c r="T71" s="1072"/>
    </row>
    <row r="72" spans="1:32" ht="14.4" thickBot="1" x14ac:dyDescent="0.3">
      <c r="A72" s="1076" t="s">
        <v>244</v>
      </c>
      <c r="B72" s="1076"/>
      <c r="C72" s="1076"/>
      <c r="D72" s="421"/>
      <c r="E72" s="144"/>
      <c r="F72" s="144"/>
      <c r="G72" s="147" t="s">
        <v>190</v>
      </c>
      <c r="H72" s="148">
        <f>I68*(J84+J91)+J68*(K84+K91)+K68*(L84+L91)</f>
        <v>1821617.4999999998</v>
      </c>
      <c r="I72" s="146"/>
      <c r="J72" s="145"/>
      <c r="K72" s="184"/>
      <c r="L72" s="188" t="s">
        <v>230</v>
      </c>
      <c r="M72" s="189">
        <f>$I$68*(J84+J91)+$J$68*(K84+K91)+$K$68*(L84+L91)</f>
        <v>1821617.4999999998</v>
      </c>
      <c r="N72" s="335" t="s">
        <v>233</v>
      </c>
      <c r="P72" s="2" t="s">
        <v>366</v>
      </c>
      <c r="Q72" s="1146"/>
      <c r="T72" s="1072"/>
    </row>
    <row r="73" spans="1:32" ht="14.4" thickBot="1" x14ac:dyDescent="0.3">
      <c r="A73" s="945" t="s">
        <v>149</v>
      </c>
      <c r="B73" s="946" t="s">
        <v>150</v>
      </c>
      <c r="C73" s="946" t="s">
        <v>151</v>
      </c>
      <c r="D73" s="211"/>
      <c r="E73" s="144"/>
      <c r="F73" s="144"/>
      <c r="G73" s="147" t="s">
        <v>185</v>
      </c>
      <c r="H73" s="148">
        <f>I68*(G98+G104)+J68*(H98+H104)+K68*(I98+I104)</f>
        <v>0</v>
      </c>
      <c r="I73" s="149" t="s">
        <v>187</v>
      </c>
      <c r="J73" s="145"/>
      <c r="K73" s="184"/>
      <c r="L73" s="188" t="s">
        <v>231</v>
      </c>
      <c r="M73" s="189">
        <f>$I$68*(M84+M91)+$J$68*(N84+N91)+$K$68*(O84+O91)</f>
        <v>352719.64285714284</v>
      </c>
      <c r="N73" s="335" t="s">
        <v>234</v>
      </c>
      <c r="Q73" s="1146"/>
      <c r="T73" s="1072"/>
      <c r="Z73" s="138" t="s">
        <v>18</v>
      </c>
      <c r="AA73" s="183" t="s">
        <v>9</v>
      </c>
      <c r="AB73" s="183" t="s">
        <v>141</v>
      </c>
      <c r="AC73" s="183" t="s">
        <v>21</v>
      </c>
      <c r="AD73" s="139" t="s">
        <v>22</v>
      </c>
      <c r="AE73" s="169" t="s">
        <v>23</v>
      </c>
    </row>
    <row r="74" spans="1:32" ht="14.4" thickBot="1" x14ac:dyDescent="0.3">
      <c r="A74" s="938" t="s">
        <v>216</v>
      </c>
      <c r="B74" s="939">
        <v>0</v>
      </c>
      <c r="C74" s="939">
        <v>0</v>
      </c>
      <c r="D74" s="211"/>
      <c r="G74" s="128"/>
      <c r="K74" s="145"/>
      <c r="L74" s="147" t="s">
        <v>231</v>
      </c>
      <c r="M74" s="150">
        <f>I68*(J98+J104)+J68*(K98+K104)+K68*(L98+L104)</f>
        <v>0</v>
      </c>
      <c r="N74" s="2" t="s">
        <v>294</v>
      </c>
      <c r="O74" s="220">
        <f>SUM(M71:M73)</f>
        <v>2898712.6984126978</v>
      </c>
      <c r="Q74" s="1146"/>
      <c r="T74" s="1072"/>
      <c r="Z74" s="142" t="s">
        <v>19</v>
      </c>
      <c r="AA74" s="235" t="s">
        <v>222</v>
      </c>
      <c r="AB74" s="141">
        <v>8.1999999999999993</v>
      </c>
      <c r="AC74" s="205">
        <f t="shared" ref="AC74:AE75" si="7">(AB47+AB49+AB51)/3</f>
        <v>73897.866666666669</v>
      </c>
      <c r="AD74" s="76">
        <f t="shared" si="7"/>
        <v>64100254.166666664</v>
      </c>
      <c r="AE74" s="137">
        <f t="shared" si="7"/>
        <v>4115595.9996876665</v>
      </c>
    </row>
    <row r="75" spans="1:32" ht="14.4" thickBot="1" x14ac:dyDescent="0.3">
      <c r="A75" s="938" t="s">
        <v>215</v>
      </c>
      <c r="B75" s="939">
        <v>8</v>
      </c>
      <c r="C75" s="939">
        <v>8</v>
      </c>
      <c r="D75" s="211"/>
      <c r="K75" s="145"/>
      <c r="L75" s="147" t="s">
        <v>188</v>
      </c>
      <c r="M75" s="150">
        <f>I68*(M104)+J68*(N104)+K68*(O104)</f>
        <v>0</v>
      </c>
      <c r="Q75" s="1146"/>
      <c r="T75" s="1072"/>
      <c r="Z75" s="140" t="s">
        <v>20</v>
      </c>
      <c r="AA75" s="179" t="str">
        <f>AA74</f>
        <v>Hradčany - Dolní Loučky</v>
      </c>
      <c r="AB75" s="66">
        <f>AB74</f>
        <v>8.1999999999999993</v>
      </c>
      <c r="AC75" s="206">
        <f t="shared" si="7"/>
        <v>160983.6</v>
      </c>
      <c r="AD75" s="170">
        <f t="shared" si="7"/>
        <v>47430669.899999999</v>
      </c>
      <c r="AE75" s="129">
        <f t="shared" si="7"/>
        <v>3380799.9628630001</v>
      </c>
      <c r="AF75" s="466" t="s">
        <v>374</v>
      </c>
    </row>
    <row r="76" spans="1:32" ht="17.25" customHeight="1" thickBot="1" x14ac:dyDescent="0.3">
      <c r="A76" s="938" t="s">
        <v>152</v>
      </c>
      <c r="B76" s="939">
        <v>1</v>
      </c>
      <c r="C76" s="939">
        <v>1</v>
      </c>
      <c r="D76" s="211"/>
      <c r="K76" s="145"/>
      <c r="L76" s="147" t="s">
        <v>189</v>
      </c>
      <c r="M76" s="150">
        <f>I68*(P98+P104)+J68*(Q98+Q104)+K68*(R98+R104)</f>
        <v>0</v>
      </c>
      <c r="Z76" s="142" t="s">
        <v>19</v>
      </c>
      <c r="AA76" s="77" t="s">
        <v>220</v>
      </c>
      <c r="AB76" s="141">
        <v>15.4</v>
      </c>
      <c r="AC76" s="205">
        <f t="shared" ref="AC76:AE77" si="8">(AB57+AB59+AB61)/3</f>
        <v>2544.2333333333331</v>
      </c>
      <c r="AD76" s="76">
        <f t="shared" si="8"/>
        <v>494836.8666666667</v>
      </c>
      <c r="AE76" s="137">
        <f t="shared" si="8"/>
        <v>48353.575874666662</v>
      </c>
    </row>
    <row r="77" spans="1:32" ht="15" customHeight="1" thickBot="1" x14ac:dyDescent="0.35">
      <c r="A77" s="938" t="s">
        <v>153</v>
      </c>
      <c r="B77" s="939">
        <v>19</v>
      </c>
      <c r="C77" s="939">
        <v>18</v>
      </c>
      <c r="D77" s="211"/>
      <c r="K77" s="151" t="s">
        <v>167</v>
      </c>
      <c r="L77" s="145"/>
      <c r="M77" s="145"/>
      <c r="Z77" s="140" t="s">
        <v>20</v>
      </c>
      <c r="AA77" s="179" t="str">
        <f>AA76</f>
        <v>Nedvědice - Tišnov</v>
      </c>
      <c r="AB77" s="66">
        <f>AB76</f>
        <v>15.4</v>
      </c>
      <c r="AC77" s="206">
        <f t="shared" si="8"/>
        <v>145399.76666666666</v>
      </c>
      <c r="AD77" s="170">
        <f t="shared" si="8"/>
        <v>11389981.733333334</v>
      </c>
      <c r="AE77" s="129">
        <f t="shared" si="8"/>
        <v>1143220.5657439998</v>
      </c>
    </row>
    <row r="78" spans="1:32" ht="15" hidden="1" customHeight="1" x14ac:dyDescent="0.3">
      <c r="A78" s="951"/>
      <c r="B78" s="951"/>
      <c r="C78" s="951"/>
      <c r="D78" s="3"/>
      <c r="E78" s="3"/>
      <c r="F78" s="3"/>
      <c r="G78" s="143" t="s">
        <v>154</v>
      </c>
      <c r="H78" s="143"/>
      <c r="I78" s="124"/>
      <c r="J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Z78" s="243"/>
      <c r="AA78" s="244"/>
      <c r="AB78" s="245"/>
      <c r="AC78" s="246"/>
      <c r="AD78" s="247"/>
      <c r="AE78" s="248"/>
    </row>
    <row r="79" spans="1:32" ht="15.75" hidden="1" customHeight="1" thickBot="1" x14ac:dyDescent="0.35">
      <c r="A79" s="951"/>
      <c r="B79" s="952"/>
      <c r="C79" s="952"/>
      <c r="D79" s="29"/>
      <c r="E79" s="29"/>
      <c r="F79" s="29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Z79" s="239"/>
      <c r="AA79" s="238"/>
      <c r="AB79" s="240"/>
      <c r="AC79" s="241"/>
      <c r="AD79" s="242"/>
      <c r="AE79" s="249"/>
    </row>
    <row r="80" spans="1:32" ht="15.75" customHeight="1" thickBot="1" x14ac:dyDescent="0.35">
      <c r="A80" s="942" t="s">
        <v>238</v>
      </c>
      <c r="B80" s="944">
        <v>2</v>
      </c>
      <c r="C80" s="944">
        <v>6</v>
      </c>
      <c r="D80" s="211"/>
      <c r="E80" s="29"/>
      <c r="F80" s="29"/>
      <c r="G80" s="199"/>
      <c r="H80" s="199"/>
      <c r="I80" s="199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Z80" s="337"/>
      <c r="AA80" s="238"/>
      <c r="AB80" s="238"/>
      <c r="AC80" s="241"/>
      <c r="AD80" s="241"/>
      <c r="AE80" s="338"/>
    </row>
    <row r="81" spans="1:45" ht="15.75" customHeight="1" thickBot="1" x14ac:dyDescent="0.35">
      <c r="A81" s="944" t="s">
        <v>240</v>
      </c>
      <c r="B81" s="944">
        <v>6</v>
      </c>
      <c r="C81" s="944">
        <v>1</v>
      </c>
      <c r="D81" s="211"/>
      <c r="E81" s="29"/>
      <c r="F81" s="29"/>
      <c r="G81" s="1151"/>
      <c r="H81" s="1152"/>
      <c r="I81" s="1152"/>
      <c r="J81" s="1152"/>
      <c r="K81" s="1152"/>
      <c r="L81" s="1152"/>
      <c r="M81" s="1152"/>
      <c r="N81" s="1152"/>
      <c r="O81" s="1152"/>
      <c r="P81" s="1152"/>
      <c r="Q81" s="1152"/>
      <c r="R81" s="1152"/>
      <c r="S81" s="1152"/>
      <c r="T81" s="1152"/>
      <c r="U81" s="1153"/>
      <c r="Z81" s="1161" t="s">
        <v>208</v>
      </c>
      <c r="AA81" s="1162"/>
      <c r="AB81" s="1162"/>
      <c r="AC81" s="1162"/>
      <c r="AD81" s="1162"/>
      <c r="AE81" s="1163"/>
      <c r="AF81" s="592" t="s">
        <v>563</v>
      </c>
      <c r="AG81" s="1105" t="s">
        <v>617</v>
      </c>
    </row>
    <row r="82" spans="1:45" ht="14.4" x14ac:dyDescent="0.3">
      <c r="A82" s="1140" t="s">
        <v>290</v>
      </c>
      <c r="B82" s="1140"/>
      <c r="C82" s="1140"/>
      <c r="D82" s="425"/>
      <c r="E82" s="4"/>
      <c r="F82" s="423"/>
      <c r="G82" s="1158" t="s">
        <v>232</v>
      </c>
      <c r="H82" s="1159"/>
      <c r="I82" s="1160"/>
      <c r="J82" s="1158" t="s">
        <v>233</v>
      </c>
      <c r="K82" s="1159"/>
      <c r="L82" s="1160"/>
      <c r="M82" s="1158" t="s">
        <v>234</v>
      </c>
      <c r="N82" s="1159"/>
      <c r="O82" s="1160"/>
      <c r="P82" s="1148"/>
      <c r="Q82" s="1149"/>
      <c r="R82" s="1150"/>
      <c r="S82" s="1148" t="s">
        <v>166</v>
      </c>
      <c r="T82" s="1149"/>
      <c r="U82" s="1150"/>
      <c r="Y82" s="1183" t="s">
        <v>251</v>
      </c>
      <c r="Z82" s="142" t="str">
        <f t="shared" ref="Z82:AA85" si="9">Z74</f>
        <v>nákladní</v>
      </c>
      <c r="AA82" s="235" t="str">
        <f t="shared" si="9"/>
        <v>Hradčany - Dolní Loučky</v>
      </c>
      <c r="AB82" s="291">
        <f>List2!K156</f>
        <v>2.7685700000000004</v>
      </c>
      <c r="AC82" s="205">
        <f t="shared" ref="AC82:AE83" si="10">AC74*$AB$82/$AB$74</f>
        <v>24950.172770406512</v>
      </c>
      <c r="AD82" s="76">
        <f t="shared" si="10"/>
        <v>21642200.082708336</v>
      </c>
      <c r="AE82" s="137">
        <f t="shared" si="10"/>
        <v>1389550.684982352</v>
      </c>
      <c r="AF82" s="757">
        <f>AE82/AC82</f>
        <v>55.693028572150929</v>
      </c>
      <c r="AG82" s="1105"/>
    </row>
    <row r="83" spans="1:45" ht="15" thickBot="1" x14ac:dyDescent="0.35">
      <c r="A83" s="1076" t="s">
        <v>245</v>
      </c>
      <c r="B83" s="1076"/>
      <c r="C83" s="1076"/>
      <c r="D83" s="421"/>
      <c r="E83" s="4"/>
      <c r="F83" s="423"/>
      <c r="G83" s="185" t="s">
        <v>161</v>
      </c>
      <c r="H83" s="186" t="s">
        <v>162</v>
      </c>
      <c r="I83" s="187" t="s">
        <v>163</v>
      </c>
      <c r="J83" s="185" t="s">
        <v>161</v>
      </c>
      <c r="K83" s="186" t="s">
        <v>162</v>
      </c>
      <c r="L83" s="187" t="s">
        <v>163</v>
      </c>
      <c r="M83" s="185" t="s">
        <v>161</v>
      </c>
      <c r="N83" s="186" t="s">
        <v>162</v>
      </c>
      <c r="O83" s="187" t="s">
        <v>163</v>
      </c>
      <c r="P83" s="152" t="s">
        <v>161</v>
      </c>
      <c r="Q83" s="153" t="s">
        <v>162</v>
      </c>
      <c r="R83" s="154" t="s">
        <v>163</v>
      </c>
      <c r="S83" s="152" t="s">
        <v>161</v>
      </c>
      <c r="T83" s="153" t="s">
        <v>162</v>
      </c>
      <c r="U83" s="154" t="s">
        <v>163</v>
      </c>
      <c r="Y83" s="1183"/>
      <c r="Z83" s="140" t="str">
        <f t="shared" si="9"/>
        <v>osobní</v>
      </c>
      <c r="AA83" s="179" t="str">
        <f t="shared" si="9"/>
        <v>Hradčany - Dolní Loučky</v>
      </c>
      <c r="AB83" s="292">
        <f>AB82</f>
        <v>2.7685700000000004</v>
      </c>
      <c r="AC83" s="206">
        <f t="shared" si="10"/>
        <v>54352.971396585381</v>
      </c>
      <c r="AD83" s="170">
        <f t="shared" si="10"/>
        <v>16014040.215249151</v>
      </c>
      <c r="AE83" s="129">
        <f t="shared" si="10"/>
        <v>1141461.1406321486</v>
      </c>
      <c r="AF83" s="757">
        <f>AE83/AC83</f>
        <v>21.000896755091823</v>
      </c>
      <c r="AG83" s="1105"/>
    </row>
    <row r="84" spans="1:45" ht="15" thickBot="1" x14ac:dyDescent="0.35">
      <c r="A84" s="945" t="s">
        <v>149</v>
      </c>
      <c r="B84" s="946" t="s">
        <v>150</v>
      </c>
      <c r="C84" s="946" t="s">
        <v>151</v>
      </c>
      <c r="D84" s="211"/>
      <c r="E84" s="5"/>
      <c r="F84" s="181"/>
      <c r="G84" s="191">
        <f>K126</f>
        <v>2067.8666666666663</v>
      </c>
      <c r="H84" s="192">
        <f>L126</f>
        <v>1803.5555555555557</v>
      </c>
      <c r="I84" s="193">
        <f>H84</f>
        <v>1803.5555555555557</v>
      </c>
      <c r="J84" s="191">
        <f>K127</f>
        <v>5648.5888888888885</v>
      </c>
      <c r="K84" s="192">
        <f>L127</f>
        <v>3560.6111111111109</v>
      </c>
      <c r="L84" s="193">
        <f>K84</f>
        <v>3560.6111111111109</v>
      </c>
      <c r="M84" s="191">
        <f>K139</f>
        <v>986.98857142857139</v>
      </c>
      <c r="N84" s="192">
        <f>L139</f>
        <v>921.5</v>
      </c>
      <c r="O84" s="193">
        <f>N84</f>
        <v>921.5</v>
      </c>
      <c r="P84" s="283"/>
      <c r="Q84" s="284"/>
      <c r="R84" s="285"/>
      <c r="S84" s="155"/>
      <c r="T84" s="156"/>
      <c r="U84" s="157"/>
      <c r="Y84" s="1183" t="s">
        <v>252</v>
      </c>
      <c r="Z84" s="142" t="str">
        <f t="shared" si="9"/>
        <v>nákladní</v>
      </c>
      <c r="AA84" s="77" t="str">
        <f t="shared" si="9"/>
        <v>Nedvědice - Tišnov</v>
      </c>
      <c r="AB84" s="291">
        <f>List2!K157</f>
        <v>0.33111999999999853</v>
      </c>
      <c r="AC84" s="205">
        <f t="shared" ref="AC84:AE85" si="11">AC76*$AB$84/$AB$76</f>
        <v>54.704320865800618</v>
      </c>
      <c r="AD84" s="76">
        <f t="shared" si="11"/>
        <v>10639.635278614673</v>
      </c>
      <c r="AE84" s="137">
        <f t="shared" si="11"/>
        <v>1039.6646781571139</v>
      </c>
      <c r="AF84" s="757">
        <f>AE84/AC84</f>
        <v>19.005165619505551</v>
      </c>
      <c r="AG84" s="1105"/>
    </row>
    <row r="85" spans="1:45" ht="15.75" customHeight="1" thickBot="1" x14ac:dyDescent="0.35">
      <c r="A85" s="938" t="s">
        <v>216</v>
      </c>
      <c r="B85" s="939">
        <v>0</v>
      </c>
      <c r="C85" s="939">
        <v>0</v>
      </c>
      <c r="D85" s="211"/>
      <c r="E85" s="7"/>
      <c r="F85" s="7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Y85" s="1183"/>
      <c r="Z85" s="173" t="str">
        <f t="shared" si="9"/>
        <v>osobní</v>
      </c>
      <c r="AA85" s="174" t="str">
        <f t="shared" si="9"/>
        <v>Nedvědice - Tišnov</v>
      </c>
      <c r="AB85" s="293">
        <f>AB84</f>
        <v>0.33111999999999853</v>
      </c>
      <c r="AC85" s="280">
        <f t="shared" si="11"/>
        <v>3126.2838141991201</v>
      </c>
      <c r="AD85" s="175">
        <f t="shared" si="11"/>
        <v>244899.39945073487</v>
      </c>
      <c r="AE85" s="176">
        <f t="shared" si="11"/>
        <v>24580.726865529319</v>
      </c>
      <c r="AF85" s="757">
        <f>AE85/AC85</f>
        <v>7.8626024783441872</v>
      </c>
      <c r="AG85" s="1105"/>
    </row>
    <row r="86" spans="1:45" ht="15" thickBot="1" x14ac:dyDescent="0.35">
      <c r="A86" s="938" t="s">
        <v>215</v>
      </c>
      <c r="B86" s="939">
        <v>8</v>
      </c>
      <c r="C86" s="939">
        <v>8</v>
      </c>
      <c r="D86" s="211"/>
      <c r="E86" s="8"/>
      <c r="F86" s="8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Z86" s="1161" t="s">
        <v>2</v>
      </c>
      <c r="AA86" s="1162"/>
      <c r="AB86" s="1162"/>
      <c r="AC86" s="1162"/>
      <c r="AD86" s="1162"/>
      <c r="AE86" s="1163"/>
    </row>
    <row r="87" spans="1:45" ht="15" thickBot="1" x14ac:dyDescent="0.35">
      <c r="A87" s="938" t="s">
        <v>152</v>
      </c>
      <c r="B87" s="939">
        <v>0</v>
      </c>
      <c r="C87" s="939">
        <v>0</v>
      </c>
      <c r="D87" s="211"/>
      <c r="G87" s="1151"/>
      <c r="H87" s="1152"/>
      <c r="I87" s="1152"/>
      <c r="J87" s="1152"/>
      <c r="K87" s="1152"/>
      <c r="L87" s="1152"/>
      <c r="M87" s="1152"/>
      <c r="N87" s="1152"/>
      <c r="O87" s="1152"/>
      <c r="P87" s="1152"/>
      <c r="Q87" s="1152"/>
      <c r="R87" s="1152"/>
      <c r="S87" s="1152"/>
      <c r="T87" s="1152"/>
      <c r="U87" s="1153"/>
      <c r="Z87" s="142" t="str">
        <f>Z84</f>
        <v>nákladní</v>
      </c>
      <c r="AA87" s="77"/>
      <c r="AB87" s="294">
        <f>AB82+AB84</f>
        <v>3.0996899999999989</v>
      </c>
      <c r="AC87" s="205">
        <f>AC82+AC84</f>
        <v>25004.877091272312</v>
      </c>
      <c r="AD87" s="282">
        <f>AD82+AD84</f>
        <v>21652839.717986953</v>
      </c>
      <c r="AE87" s="137">
        <f>AE82+AE84</f>
        <v>1390590.349660509</v>
      </c>
    </row>
    <row r="88" spans="1:45" ht="15" thickBot="1" x14ac:dyDescent="0.35">
      <c r="A88" s="938" t="s">
        <v>153</v>
      </c>
      <c r="B88" s="939">
        <v>8</v>
      </c>
      <c r="C88" s="939">
        <v>8</v>
      </c>
      <c r="D88" s="211"/>
      <c r="E88" s="27"/>
      <c r="F88" s="27"/>
      <c r="G88" s="158"/>
      <c r="H88" s="159" t="s">
        <v>156</v>
      </c>
      <c r="I88" s="160"/>
      <c r="J88" s="1155" t="s">
        <v>157</v>
      </c>
      <c r="K88" s="1156"/>
      <c r="L88" s="1157"/>
      <c r="M88" s="1148" t="s">
        <v>158</v>
      </c>
      <c r="N88" s="1149"/>
      <c r="O88" s="1150"/>
      <c r="P88" s="1148" t="s">
        <v>159</v>
      </c>
      <c r="Q88" s="1149"/>
      <c r="R88" s="1150"/>
      <c r="S88" s="1148" t="s">
        <v>160</v>
      </c>
      <c r="T88" s="1149"/>
      <c r="U88" s="1150"/>
      <c r="Z88" s="173" t="str">
        <f>Z85</f>
        <v>osobní</v>
      </c>
      <c r="AA88" s="174"/>
      <c r="AB88" s="295">
        <f>AB87</f>
        <v>3.0996899999999989</v>
      </c>
      <c r="AC88" s="280">
        <f>AC83+AC85</f>
        <v>57479.255210784504</v>
      </c>
      <c r="AD88" s="175">
        <f>AD83+AD85</f>
        <v>16258939.614699885</v>
      </c>
      <c r="AE88" s="176">
        <f>AE83+AE85</f>
        <v>1166041.8674976779</v>
      </c>
    </row>
    <row r="89" spans="1:45" ht="14.4" x14ac:dyDescent="0.3">
      <c r="A89" s="942" t="s">
        <v>238</v>
      </c>
      <c r="B89" s="944">
        <v>6</v>
      </c>
      <c r="C89" s="944">
        <v>2</v>
      </c>
      <c r="D89" s="211"/>
      <c r="E89" s="6"/>
      <c r="F89" s="422"/>
      <c r="G89" s="152" t="s">
        <v>161</v>
      </c>
      <c r="H89" s="153" t="s">
        <v>162</v>
      </c>
      <c r="I89" s="154" t="s">
        <v>163</v>
      </c>
      <c r="J89" s="152" t="s">
        <v>161</v>
      </c>
      <c r="K89" s="153" t="s">
        <v>162</v>
      </c>
      <c r="L89" s="154" t="s">
        <v>163</v>
      </c>
      <c r="M89" s="152" t="s">
        <v>161</v>
      </c>
      <c r="N89" s="153" t="s">
        <v>162</v>
      </c>
      <c r="O89" s="154" t="s">
        <v>163</v>
      </c>
      <c r="P89" s="152" t="s">
        <v>161</v>
      </c>
      <c r="Q89" s="153" t="s">
        <v>162</v>
      </c>
      <c r="R89" s="154" t="s">
        <v>163</v>
      </c>
      <c r="S89" s="152" t="s">
        <v>161</v>
      </c>
      <c r="T89" s="153" t="s">
        <v>162</v>
      </c>
      <c r="U89" s="154" t="s">
        <v>163</v>
      </c>
      <c r="Z89" s="203"/>
      <c r="AA89" s="203"/>
      <c r="AB89" s="203"/>
      <c r="AC89" s="75"/>
      <c r="AD89" s="75"/>
      <c r="AE89" s="75"/>
    </row>
    <row r="90" spans="1:45" ht="15" thickBot="1" x14ac:dyDescent="0.35">
      <c r="A90" s="944" t="s">
        <v>240</v>
      </c>
      <c r="B90" s="944">
        <v>1</v>
      </c>
      <c r="C90" s="944">
        <v>6</v>
      </c>
      <c r="D90" s="211"/>
      <c r="E90" s="327"/>
      <c r="F90" s="422"/>
      <c r="G90" s="339"/>
      <c r="H90" s="340"/>
      <c r="I90" s="341"/>
      <c r="J90" s="339"/>
      <c r="K90" s="340"/>
      <c r="L90" s="341"/>
      <c r="M90" s="339"/>
      <c r="N90" s="340"/>
      <c r="O90" s="341"/>
      <c r="P90" s="339"/>
      <c r="Q90" s="340"/>
      <c r="R90" s="341"/>
      <c r="S90" s="339"/>
      <c r="T90" s="340"/>
      <c r="U90" s="341"/>
      <c r="Z90" s="325"/>
      <c r="AA90" s="325"/>
      <c r="AB90" s="325"/>
      <c r="AC90" s="75"/>
      <c r="AD90" s="75"/>
      <c r="AE90" s="75"/>
    </row>
    <row r="91" spans="1:45" ht="15" thickBot="1" x14ac:dyDescent="0.35">
      <c r="A91" s="1140" t="s">
        <v>290</v>
      </c>
      <c r="B91" s="1140"/>
      <c r="C91" s="1140"/>
      <c r="D91" s="425"/>
      <c r="E91" s="28"/>
      <c r="F91" s="28"/>
      <c r="G91" s="155"/>
      <c r="H91" s="156"/>
      <c r="I91" s="157"/>
      <c r="J91" s="155"/>
      <c r="K91" s="156"/>
      <c r="L91" s="157"/>
      <c r="M91" s="155"/>
      <c r="N91" s="156"/>
      <c r="O91" s="157"/>
      <c r="P91" s="155"/>
      <c r="Q91" s="156"/>
      <c r="R91" s="157"/>
      <c r="S91" s="155"/>
      <c r="T91" s="156"/>
      <c r="U91" s="157"/>
      <c r="Z91" s="203"/>
      <c r="AA91" s="203"/>
      <c r="AB91" s="203"/>
      <c r="AC91" s="75"/>
      <c r="AD91" s="75"/>
      <c r="AE91" s="75"/>
    </row>
    <row r="92" spans="1:45" ht="14.4" thickBot="1" x14ac:dyDescent="0.3">
      <c r="A92" s="1076" t="s">
        <v>246</v>
      </c>
      <c r="B92" s="1076"/>
      <c r="C92" s="1076"/>
      <c r="D92" s="421"/>
      <c r="E92" s="28"/>
      <c r="F92" s="28"/>
      <c r="G92" s="161"/>
      <c r="H92" s="161"/>
      <c r="I92" s="161"/>
      <c r="J92" s="161"/>
      <c r="K92" s="161"/>
      <c r="L92" s="161"/>
      <c r="M92" s="161"/>
      <c r="N92" s="161"/>
      <c r="O92" s="161"/>
      <c r="P92" s="145"/>
      <c r="Q92" s="145"/>
      <c r="R92" s="145"/>
      <c r="S92" s="145"/>
      <c r="T92" s="145"/>
      <c r="U92" s="145"/>
    </row>
    <row r="93" spans="1:45" ht="15" thickBot="1" x14ac:dyDescent="0.35">
      <c r="A93" s="945" t="s">
        <v>149</v>
      </c>
      <c r="B93" s="946" t="s">
        <v>150</v>
      </c>
      <c r="C93" s="946" t="s">
        <v>151</v>
      </c>
      <c r="D93" s="211"/>
      <c r="G93" s="143" t="s">
        <v>165</v>
      </c>
      <c r="H93" s="143"/>
      <c r="I93" s="143"/>
      <c r="J93" s="126"/>
      <c r="K93" s="126"/>
      <c r="L93" s="126"/>
      <c r="M93" s="126"/>
      <c r="N93" s="126"/>
      <c r="O93" s="126"/>
      <c r="P93" s="126"/>
      <c r="Q93" s="126"/>
      <c r="R93" s="126"/>
      <c r="AA93" s="171" t="s">
        <v>142</v>
      </c>
      <c r="AF93" s="297" t="s">
        <v>5</v>
      </c>
      <c r="AG93" s="297"/>
      <c r="AH93" s="297"/>
      <c r="AI93" s="297"/>
      <c r="AJ93" s="297"/>
      <c r="AK93" s="184"/>
      <c r="AL93" s="184"/>
      <c r="AM93" s="184"/>
      <c r="AN93" s="184"/>
      <c r="AO93" s="184"/>
      <c r="AP93" s="184"/>
      <c r="AQ93" s="184"/>
    </row>
    <row r="94" spans="1:45" ht="15" thickBot="1" x14ac:dyDescent="0.35">
      <c r="A94" s="938" t="s">
        <v>216</v>
      </c>
      <c r="B94" s="939">
        <v>0</v>
      </c>
      <c r="C94" s="939">
        <v>0</v>
      </c>
      <c r="D94" s="211"/>
      <c r="E94" s="2"/>
      <c r="F94" s="2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AA94" s="172">
        <f>143.382-143.069029</f>
        <v>0.31297100000000455</v>
      </c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</row>
    <row r="95" spans="1:45" ht="15" thickBot="1" x14ac:dyDescent="0.35">
      <c r="A95" s="938" t="s">
        <v>215</v>
      </c>
      <c r="B95" s="939">
        <v>0</v>
      </c>
      <c r="C95" s="939">
        <v>0</v>
      </c>
      <c r="D95" s="211"/>
      <c r="G95" s="1151" t="s">
        <v>155</v>
      </c>
      <c r="H95" s="1152"/>
      <c r="I95" s="1152"/>
      <c r="J95" s="1152"/>
      <c r="K95" s="1152"/>
      <c r="L95" s="1152"/>
      <c r="M95" s="1152"/>
      <c r="N95" s="1152"/>
      <c r="O95" s="1152"/>
      <c r="P95" s="1152"/>
      <c r="Q95" s="1152"/>
      <c r="R95" s="1153"/>
      <c r="AF95" s="209" t="s">
        <v>6</v>
      </c>
      <c r="AG95" s="138">
        <f>'[3]0 Úvod'!D40</f>
        <v>2010</v>
      </c>
      <c r="AH95" s="183">
        <f>'[3]0 Úvod'!E40</f>
        <v>2011</v>
      </c>
      <c r="AI95" s="183">
        <f>'[3]0 Úvod'!F40</f>
        <v>2012</v>
      </c>
      <c r="AJ95" s="183">
        <f>'[3]0 Úvod'!G40</f>
        <v>2013</v>
      </c>
      <c r="AK95" s="183">
        <f>'[3]0 Úvod'!H40</f>
        <v>2014</v>
      </c>
      <c r="AL95" s="183">
        <f>'[3]0 Úvod'!I40</f>
        <v>2015</v>
      </c>
      <c r="AM95" s="183">
        <f>'[3]0 Úvod'!J40</f>
        <v>2016</v>
      </c>
      <c r="AN95" s="183">
        <f>'[3]0 Úvod'!K40</f>
        <v>2017</v>
      </c>
      <c r="AO95" s="183">
        <f>'[3]0 Úvod'!L40</f>
        <v>2018</v>
      </c>
      <c r="AP95" s="183">
        <f>'[3]0 Úvod'!M40</f>
        <v>2019</v>
      </c>
      <c r="AQ95" s="555">
        <f>'[3]0 Úvod'!N40</f>
        <v>2020</v>
      </c>
    </row>
    <row r="96" spans="1:45" ht="17.100000000000001" customHeight="1" thickBot="1" x14ac:dyDescent="0.35">
      <c r="A96" s="938" t="s">
        <v>152</v>
      </c>
      <c r="B96" s="939">
        <v>1</v>
      </c>
      <c r="C96" s="939">
        <v>1</v>
      </c>
      <c r="D96" s="211"/>
      <c r="G96" s="158"/>
      <c r="H96" s="159" t="s">
        <v>156</v>
      </c>
      <c r="I96" s="160"/>
      <c r="J96" s="1148" t="s">
        <v>158</v>
      </c>
      <c r="K96" s="1149"/>
      <c r="L96" s="1150"/>
      <c r="M96" s="1148" t="s">
        <v>159</v>
      </c>
      <c r="N96" s="1149"/>
      <c r="O96" s="1150"/>
      <c r="P96" s="1148" t="s">
        <v>160</v>
      </c>
      <c r="Q96" s="1149"/>
      <c r="R96" s="1150"/>
      <c r="AF96" s="501" t="s">
        <v>7</v>
      </c>
      <c r="AG96" s="296">
        <f>'[7]0 Úvod'!D41</f>
        <v>1.4999999999999999E-2</v>
      </c>
      <c r="AH96" s="296">
        <f>'[7]0 Úvod'!E41</f>
        <v>1.9E-2</v>
      </c>
      <c r="AI96" s="298">
        <f>'[7]0 Úvod'!F41</f>
        <v>3.3000000000000002E-2</v>
      </c>
      <c r="AJ96" s="298">
        <f>'[7]0 Úvod'!G41</f>
        <v>1.4E-2</v>
      </c>
      <c r="AK96" s="298">
        <f>'[7]0 Úvod'!H41</f>
        <v>4.0000000000000001E-3</v>
      </c>
      <c r="AL96" s="298">
        <f>'[7]0 Úvod'!I41</f>
        <v>3.0000000000000001E-3</v>
      </c>
      <c r="AM96" s="298">
        <f>'[7]0 Úvod'!J41</f>
        <v>7.0000000000000001E-3</v>
      </c>
      <c r="AN96" s="298">
        <f>'[7]0 Úvod'!K41</f>
        <v>2.5000000000000001E-2</v>
      </c>
      <c r="AO96" s="298">
        <f>'[7]0 Úvod'!L41</f>
        <v>2.1000000000000001E-2</v>
      </c>
      <c r="AP96" s="298">
        <f>'[7]0 Úvod'!M41</f>
        <v>2.1999999999999999E-2</v>
      </c>
      <c r="AQ96" s="299">
        <f>'[7]0 Úvod'!N41</f>
        <v>0.02</v>
      </c>
      <c r="AS96" s="499"/>
    </row>
    <row r="97" spans="1:89" ht="17.100000000000001" customHeight="1" thickBot="1" x14ac:dyDescent="0.35">
      <c r="A97" s="940" t="s">
        <v>153</v>
      </c>
      <c r="B97" s="941">
        <v>8</v>
      </c>
      <c r="C97" s="941">
        <v>7</v>
      </c>
      <c r="D97" s="211"/>
      <c r="G97" s="152" t="s">
        <v>161</v>
      </c>
      <c r="H97" s="153" t="s">
        <v>162</v>
      </c>
      <c r="I97" s="154" t="s">
        <v>163</v>
      </c>
      <c r="J97" s="152" t="s">
        <v>161</v>
      </c>
      <c r="K97" s="153" t="s">
        <v>162</v>
      </c>
      <c r="L97" s="154" t="s">
        <v>163</v>
      </c>
      <c r="M97" s="152" t="s">
        <v>161</v>
      </c>
      <c r="N97" s="153" t="s">
        <v>162</v>
      </c>
      <c r="O97" s="154" t="s">
        <v>163</v>
      </c>
      <c r="P97" s="152" t="s">
        <v>161</v>
      </c>
      <c r="Q97" s="153" t="s">
        <v>162</v>
      </c>
      <c r="R97" s="154" t="s">
        <v>163</v>
      </c>
      <c r="AF97" s="502" t="s">
        <v>8</v>
      </c>
      <c r="AG97" s="300">
        <f>'[7]0 Úvod'!D57</f>
        <v>2.1000000000000001E-2</v>
      </c>
      <c r="AH97" s="300">
        <f>'[7]0 Úvod'!E57</f>
        <v>0.02</v>
      </c>
      <c r="AI97" s="300">
        <f>'[7]0 Úvod'!F57</f>
        <v>-7.0000000000000001E-3</v>
      </c>
      <c r="AJ97" s="300">
        <f>'[7]0 Úvod'!G57</f>
        <v>-5.0000000000000001E-3</v>
      </c>
      <c r="AK97" s="300">
        <f>'[7]0 Úvod'!H57</f>
        <v>2.7E-2</v>
      </c>
      <c r="AL97" s="300">
        <f>'[7]0 Úvod'!I57</f>
        <v>5.3999999999999999E-2</v>
      </c>
      <c r="AM97" s="300">
        <f>'[7]0 Úvod'!J57</f>
        <v>2.4E-2</v>
      </c>
      <c r="AN97" s="300">
        <f>'[7]0 Úvod'!K57</f>
        <v>4.4999999999999998E-2</v>
      </c>
      <c r="AO97" s="300">
        <f>'[7]0 Úvod'!L57</f>
        <v>2.8000000000000001E-2</v>
      </c>
      <c r="AP97" s="300">
        <f>'[7]0 Úvod'!M57</f>
        <v>2.9000000000000001E-2</v>
      </c>
      <c r="AQ97" s="500">
        <f>'[7]0 Úvod'!N57</f>
        <v>0.03</v>
      </c>
    </row>
    <row r="98" spans="1:89" ht="15" customHeight="1" thickBot="1" x14ac:dyDescent="0.35">
      <c r="A98" s="943" t="s">
        <v>241</v>
      </c>
      <c r="B98" s="943">
        <v>0</v>
      </c>
      <c r="C98" s="943">
        <v>0</v>
      </c>
      <c r="D98" s="423"/>
      <c r="G98" s="155"/>
      <c r="H98" s="156"/>
      <c r="I98" s="157"/>
      <c r="J98" s="155"/>
      <c r="K98" s="156"/>
      <c r="L98" s="157"/>
      <c r="M98" s="155"/>
      <c r="N98" s="156"/>
      <c r="O98" s="157"/>
      <c r="P98" s="155"/>
      <c r="Q98" s="156"/>
      <c r="R98" s="157"/>
      <c r="AF98" s="502" t="s">
        <v>422</v>
      </c>
      <c r="AG98" s="300">
        <f>'[7]0 Úvod'!D66</f>
        <v>7.0000000000000001E-3</v>
      </c>
      <c r="AH98" s="300">
        <f>'[7]0 Úvod'!E66</f>
        <v>6.0000000000000001E-3</v>
      </c>
      <c r="AI98" s="300">
        <f>'[7]0 Úvod'!F66</f>
        <v>-8.0000000000000002E-3</v>
      </c>
      <c r="AJ98" s="300">
        <f>'[7]0 Úvod'!G66</f>
        <v>-1.4999999999999999E-2</v>
      </c>
      <c r="AK98" s="300">
        <f>'[7]0 Úvod'!H66</f>
        <v>2.5000000000000001E-2</v>
      </c>
      <c r="AL98" s="300">
        <f>'[7]0 Úvod'!I66</f>
        <v>2.9000000000000001E-2</v>
      </c>
      <c r="AM98" s="300">
        <f>'[7]0 Úvod'!J66</f>
        <v>0.03</v>
      </c>
      <c r="AN98" s="300">
        <f>'[7]0 Úvod'!K66</f>
        <v>4.3999999999999997E-2</v>
      </c>
      <c r="AO98" s="300">
        <f>'[7]0 Úvod'!L66</f>
        <v>6.4000000000000001E-2</v>
      </c>
      <c r="AP98" s="300">
        <f>'[7]0 Úvod'!M66</f>
        <v>4.7E-2</v>
      </c>
      <c r="AQ98" s="500">
        <f>'[7]0 Úvod'!N66</f>
        <v>3.4000000000000002E-2</v>
      </c>
    </row>
    <row r="99" spans="1:89" ht="15" customHeight="1" x14ac:dyDescent="0.3">
      <c r="A99" s="1140" t="s">
        <v>315</v>
      </c>
      <c r="B99" s="1140"/>
      <c r="C99" s="1140"/>
      <c r="D99" s="425"/>
      <c r="E99" s="10"/>
      <c r="F99" s="423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AR99" s="164" t="s">
        <v>6</v>
      </c>
      <c r="AS99" s="165">
        <v>2014</v>
      </c>
      <c r="AT99" s="165">
        <v>2015</v>
      </c>
      <c r="AU99" s="165" t="s">
        <v>107</v>
      </c>
      <c r="AV99" s="165" t="s">
        <v>26</v>
      </c>
      <c r="AW99" s="166" t="s">
        <v>121</v>
      </c>
    </row>
    <row r="100" spans="1:89" ht="15" customHeight="1" thickBot="1" x14ac:dyDescent="0.35">
      <c r="A100" s="1147" t="s">
        <v>319</v>
      </c>
      <c r="B100" s="1147"/>
      <c r="C100" s="1147"/>
      <c r="D100" s="421"/>
      <c r="E100" s="15"/>
      <c r="F100" s="423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AR100" s="167" t="s">
        <v>17</v>
      </c>
      <c r="AS100" s="162">
        <v>1.7999999999999999E-2</v>
      </c>
      <c r="AT100" s="162">
        <v>4.7E-2</v>
      </c>
      <c r="AU100" s="162">
        <v>2.8000000000000001E-2</v>
      </c>
      <c r="AV100" s="162">
        <v>0.02</v>
      </c>
      <c r="AW100" s="163">
        <v>0.01</v>
      </c>
    </row>
    <row r="101" spans="1:89" ht="28.2" thickBot="1" x14ac:dyDescent="0.35">
      <c r="A101" s="938" t="s">
        <v>149</v>
      </c>
      <c r="B101" s="939" t="s">
        <v>316</v>
      </c>
      <c r="C101" s="939" t="s">
        <v>317</v>
      </c>
      <c r="D101" s="939" t="s">
        <v>318</v>
      </c>
      <c r="E101" s="435"/>
      <c r="F101" s="211"/>
      <c r="G101" s="1154" t="s">
        <v>164</v>
      </c>
      <c r="H101" s="1152"/>
      <c r="I101" s="1152"/>
      <c r="J101" s="1152"/>
      <c r="K101" s="1152"/>
      <c r="L101" s="1152"/>
      <c r="M101" s="1152"/>
      <c r="N101" s="1152"/>
      <c r="O101" s="1152"/>
      <c r="P101" s="1152"/>
      <c r="Q101" s="1152"/>
      <c r="R101" s="1153"/>
      <c r="AZ101" s="184" t="s">
        <v>627</v>
      </c>
      <c r="BA101" s="184"/>
      <c r="BB101" s="184"/>
      <c r="BC101" s="184"/>
      <c r="BD101" s="184"/>
      <c r="BE101" s="184"/>
      <c r="BF101" s="184"/>
      <c r="BG101" s="184"/>
      <c r="BH101" s="184"/>
      <c r="BI101" s="184"/>
      <c r="BJ101" s="184"/>
      <c r="BK101" s="184"/>
      <c r="BL101" s="184"/>
      <c r="BM101" s="184"/>
      <c r="BN101" s="184"/>
      <c r="BO101" s="184"/>
    </row>
    <row r="102" spans="1:89" ht="15" customHeight="1" thickBot="1" x14ac:dyDescent="0.35">
      <c r="A102" s="938" t="s">
        <v>216</v>
      </c>
      <c r="B102" s="953">
        <v>0</v>
      </c>
      <c r="C102" s="953">
        <v>0</v>
      </c>
      <c r="D102" s="953">
        <v>0</v>
      </c>
      <c r="E102" s="429"/>
      <c r="F102" s="427"/>
      <c r="G102" s="432"/>
      <c r="H102" s="159" t="s">
        <v>156</v>
      </c>
      <c r="I102" s="160"/>
      <c r="J102" s="1148" t="s">
        <v>158</v>
      </c>
      <c r="K102" s="1149"/>
      <c r="L102" s="1150"/>
      <c r="M102" s="1148" t="s">
        <v>159</v>
      </c>
      <c r="N102" s="1149"/>
      <c r="O102" s="1150"/>
      <c r="P102" s="1148" t="s">
        <v>160</v>
      </c>
      <c r="Q102" s="1149"/>
      <c r="R102" s="1150"/>
      <c r="AZ102" s="184"/>
      <c r="BA102" s="184"/>
      <c r="BB102" s="184"/>
      <c r="BC102" s="184"/>
      <c r="BD102" s="184"/>
      <c r="BE102" s="184"/>
      <c r="BF102" s="184"/>
      <c r="BG102" s="184"/>
      <c r="BH102" s="184"/>
      <c r="BI102" s="184"/>
      <c r="BJ102" s="184"/>
      <c r="BK102" s="184"/>
      <c r="BL102" s="184"/>
      <c r="BM102" s="184"/>
      <c r="BN102" s="184"/>
      <c r="BO102" s="184"/>
    </row>
    <row r="103" spans="1:89" ht="15" customHeight="1" thickBot="1" x14ac:dyDescent="0.35">
      <c r="A103" s="938" t="s">
        <v>215</v>
      </c>
      <c r="B103" s="953">
        <v>10</v>
      </c>
      <c r="C103" s="953">
        <v>8</v>
      </c>
      <c r="D103" s="953">
        <v>8</v>
      </c>
      <c r="E103" s="429"/>
      <c r="F103" s="427"/>
      <c r="G103" s="433" t="s">
        <v>161</v>
      </c>
      <c r="H103" s="153" t="s">
        <v>162</v>
      </c>
      <c r="I103" s="154" t="s">
        <v>163</v>
      </c>
      <c r="J103" s="152" t="s">
        <v>161</v>
      </c>
      <c r="K103" s="153" t="s">
        <v>162</v>
      </c>
      <c r="L103" s="154" t="s">
        <v>163</v>
      </c>
      <c r="M103" s="152" t="s">
        <v>161</v>
      </c>
      <c r="N103" s="153" t="s">
        <v>162</v>
      </c>
      <c r="O103" s="154" t="s">
        <v>163</v>
      </c>
      <c r="P103" s="152" t="s">
        <v>161</v>
      </c>
      <c r="Q103" s="153" t="s">
        <v>162</v>
      </c>
      <c r="R103" s="154" t="s">
        <v>163</v>
      </c>
      <c r="AZ103" s="1106" t="s">
        <v>625</v>
      </c>
      <c r="BA103" s="1107"/>
      <c r="BB103" s="1107"/>
      <c r="BC103" s="1107"/>
      <c r="BD103" s="1107"/>
      <c r="BE103" s="1107"/>
      <c r="BF103" s="1107"/>
      <c r="BG103" s="1107"/>
      <c r="BH103" s="1107"/>
      <c r="BI103" s="1107"/>
      <c r="BJ103" s="1107"/>
      <c r="BK103" s="1107"/>
      <c r="BL103" s="1107"/>
      <c r="BM103" s="1107"/>
      <c r="BN103" s="1107"/>
      <c r="BO103" s="1108"/>
      <c r="BP103" s="224"/>
      <c r="BR103" s="1112" t="s">
        <v>401</v>
      </c>
      <c r="BS103" s="1113"/>
      <c r="BT103" s="1113"/>
      <c r="BU103" s="1113"/>
      <c r="BV103" s="1113"/>
      <c r="BW103" s="1113"/>
      <c r="BX103" s="1113"/>
      <c r="BY103" s="1113"/>
      <c r="BZ103" s="1113"/>
      <c r="CA103" s="1113"/>
      <c r="CB103" s="1113"/>
      <c r="CC103" s="1113"/>
      <c r="CD103" s="1113"/>
      <c r="CE103" s="1114"/>
      <c r="CF103" s="482"/>
      <c r="CG103" s="482"/>
      <c r="CH103" s="482"/>
      <c r="CI103" s="482"/>
      <c r="CJ103" s="483"/>
      <c r="CK103" s="225"/>
    </row>
    <row r="104" spans="1:89" ht="15" customHeight="1" thickBot="1" x14ac:dyDescent="0.35">
      <c r="A104" s="945" t="s">
        <v>152</v>
      </c>
      <c r="B104" s="953">
        <v>0</v>
      </c>
      <c r="C104" s="953">
        <v>1</v>
      </c>
      <c r="D104" s="953">
        <v>1</v>
      </c>
      <c r="E104" s="429"/>
      <c r="F104" s="427"/>
      <c r="G104" s="434"/>
      <c r="H104" s="156"/>
      <c r="I104" s="157"/>
      <c r="J104" s="155"/>
      <c r="K104" s="156"/>
      <c r="L104" s="157"/>
      <c r="M104" s="155"/>
      <c r="N104" s="156"/>
      <c r="O104" s="157"/>
      <c r="P104" s="155"/>
      <c r="Q104" s="156"/>
      <c r="R104" s="157"/>
      <c r="AZ104" s="182" t="s">
        <v>0</v>
      </c>
      <c r="BA104" s="484"/>
      <c r="BB104" s="662">
        <v>2017</v>
      </c>
      <c r="BC104" s="198">
        <v>2016</v>
      </c>
      <c r="BD104" s="198">
        <v>2017</v>
      </c>
      <c r="BE104" s="198">
        <v>2018</v>
      </c>
      <c r="BF104" s="198">
        <v>2025</v>
      </c>
      <c r="BG104" s="198">
        <f>BF104+1</f>
        <v>2026</v>
      </c>
      <c r="BH104" s="198">
        <f t="shared" ref="BH104:BO104" si="12">BG104+1</f>
        <v>2027</v>
      </c>
      <c r="BI104" s="198">
        <f t="shared" si="12"/>
        <v>2028</v>
      </c>
      <c r="BJ104" s="198">
        <f t="shared" si="12"/>
        <v>2029</v>
      </c>
      <c r="BK104" s="198">
        <f t="shared" si="12"/>
        <v>2030</v>
      </c>
      <c r="BL104" s="198">
        <f t="shared" si="12"/>
        <v>2031</v>
      </c>
      <c r="BM104" s="198">
        <f t="shared" si="12"/>
        <v>2032</v>
      </c>
      <c r="BN104" s="198">
        <f t="shared" si="12"/>
        <v>2033</v>
      </c>
      <c r="BO104" s="198">
        <f t="shared" si="12"/>
        <v>2034</v>
      </c>
      <c r="BP104" s="226"/>
      <c r="BR104" s="491"/>
      <c r="BS104" s="492">
        <v>2025</v>
      </c>
      <c r="BT104" s="492">
        <f>BS104+1</f>
        <v>2026</v>
      </c>
      <c r="BU104" s="492">
        <f>BT104+1</f>
        <v>2027</v>
      </c>
      <c r="BV104" s="492">
        <f>BU104+1</f>
        <v>2028</v>
      </c>
      <c r="BW104" s="492">
        <f>BV104+1</f>
        <v>2029</v>
      </c>
      <c r="BX104" s="492"/>
      <c r="BY104" s="492">
        <f>BW104+1</f>
        <v>2030</v>
      </c>
      <c r="BZ104" s="492">
        <f>BY104+1</f>
        <v>2031</v>
      </c>
      <c r="CA104" s="492"/>
      <c r="CB104" s="492"/>
      <c r="CC104" s="492">
        <f>BZ104+1</f>
        <v>2032</v>
      </c>
      <c r="CD104" s="492">
        <f>CC104+1</f>
        <v>2033</v>
      </c>
      <c r="CE104" s="493">
        <f>CD104+1</f>
        <v>2034</v>
      </c>
    </row>
    <row r="105" spans="1:89" ht="15" customHeight="1" thickBot="1" x14ac:dyDescent="0.3">
      <c r="A105" s="938" t="s">
        <v>153</v>
      </c>
      <c r="B105" s="953">
        <v>48</v>
      </c>
      <c r="C105" s="953">
        <v>27</v>
      </c>
      <c r="D105" s="953">
        <v>25</v>
      </c>
      <c r="E105" s="429"/>
      <c r="F105" s="427"/>
      <c r="AZ105" s="526" t="s">
        <v>419</v>
      </c>
      <c r="BA105" s="485"/>
      <c r="BB105" s="663">
        <f t="shared" ref="BB105:BB110" si="13">I40</f>
        <v>1214411.6666666665</v>
      </c>
      <c r="BC105" s="190">
        <f>$I$44</f>
        <v>0</v>
      </c>
      <c r="BD105" s="190">
        <f>$I$44</f>
        <v>0</v>
      </c>
      <c r="BE105" s="190">
        <f>$I$44</f>
        <v>0</v>
      </c>
      <c r="BF105" s="190">
        <f>'[2]Úspora času'!$BZ$5</f>
        <v>1319822.5993333331</v>
      </c>
      <c r="BG105" s="190">
        <f>'[2]Úspora času'!$BZ$6</f>
        <v>1329173.5691666666</v>
      </c>
      <c r="BH105" s="190">
        <f>'[2]Úspora času'!$BZ$7</f>
        <v>1338524.5389999999</v>
      </c>
      <c r="BI105" s="190">
        <f>'[2]Úspora času'!$BZ$8</f>
        <v>1347875.5088333329</v>
      </c>
      <c r="BJ105" s="190">
        <f>'[2]Úspora času'!$BZ$9</f>
        <v>1357226.4786666667</v>
      </c>
      <c r="BK105" s="190">
        <f>'[2]Úspora času'!$BZ$10</f>
        <v>1366577.4484999997</v>
      </c>
      <c r="BL105" s="190">
        <f>'[2]Úspora času'!$BZ$11</f>
        <v>1372188.0303999998</v>
      </c>
      <c r="BM105" s="190">
        <f>'[2]Úspora času'!$BZ$12</f>
        <v>1377798.6122999997</v>
      </c>
      <c r="BN105" s="190">
        <f>'[2]Úspora času'!$BZ$13</f>
        <v>1383409.1941999998</v>
      </c>
      <c r="BO105" s="221">
        <f>'[2]Úspora času'!$BZ$14</f>
        <v>1389019.7760999999</v>
      </c>
      <c r="BP105" s="227"/>
      <c r="BR105" s="494" t="s">
        <v>304</v>
      </c>
      <c r="BS105" s="490">
        <f>$N$146*'[2]Úspora času'!$BQ$40</f>
        <v>1416420.4022222222</v>
      </c>
      <c r="BT105" s="490">
        <f>$N$146*'[2]Úspora času'!$BQ$41</f>
        <v>1426455.7694444444</v>
      </c>
      <c r="BU105" s="490">
        <f>$N$146*'[2]Úspora času'!$BQ$42</f>
        <v>1436491.1366666667</v>
      </c>
      <c r="BV105" s="490">
        <f>$N$146*'[2]Úspora času'!$BQ$43</f>
        <v>1446526.5038888888</v>
      </c>
      <c r="BW105" s="490">
        <f>$N$146*'[2]Úspora času'!$BQ$44</f>
        <v>1456561.8711111112</v>
      </c>
      <c r="BX105" s="490"/>
      <c r="BY105" s="490">
        <f>$N$146*'[2]Úspora času'!$BQ$45</f>
        <v>1466597.2383333333</v>
      </c>
      <c r="BZ105" s="490">
        <f>$N$146*'[2]Úspora času'!$BQ$46</f>
        <v>1472618.4586666669</v>
      </c>
      <c r="CA105" s="490"/>
      <c r="CB105" s="490"/>
      <c r="CC105" s="490">
        <f>$N$146*'[2]Úspora času'!$BQ$47</f>
        <v>1478639.679</v>
      </c>
      <c r="CD105" s="490">
        <f>$N$146*'[2]Úspora času'!$BQ$48</f>
        <v>1484660.8993333334</v>
      </c>
      <c r="CE105" s="495">
        <f>$N$146*'[2]Úspora času'!$BQ$49</f>
        <v>1490682.1196666667</v>
      </c>
    </row>
    <row r="106" spans="1:89" ht="15" customHeight="1" thickBot="1" x14ac:dyDescent="0.35">
      <c r="A106" s="1140" t="s">
        <v>315</v>
      </c>
      <c r="B106" s="1140"/>
      <c r="C106" s="1140"/>
      <c r="D106" s="425"/>
      <c r="E106" s="423"/>
      <c r="F106" s="423"/>
      <c r="L106" s="212" t="s">
        <v>238</v>
      </c>
      <c r="M106" s="199" t="s">
        <v>239</v>
      </c>
      <c r="AZ106" s="527" t="s">
        <v>299</v>
      </c>
      <c r="BA106" s="546"/>
      <c r="BB106" s="664">
        <f t="shared" si="13"/>
        <v>607205.83333333326</v>
      </c>
      <c r="BC106" s="547"/>
      <c r="BD106" s="547"/>
      <c r="BE106" s="547"/>
      <c r="BF106" s="547">
        <f>'[2]Úspora času'!$BV$5</f>
        <v>659911.29966666654</v>
      </c>
      <c r="BG106" s="547">
        <f>'[2]Úspora času'!$BV$6</f>
        <v>664586.7845833333</v>
      </c>
      <c r="BH106" s="547">
        <f>'[2]Úspora času'!$BV$7</f>
        <v>669262.26949999994</v>
      </c>
      <c r="BI106" s="547">
        <f>'[2]Úspora času'!$BV$8</f>
        <v>673937.75441666646</v>
      </c>
      <c r="BJ106" s="547">
        <f>'[2]Úspora času'!$BV$9</f>
        <v>678613.23933333333</v>
      </c>
      <c r="BK106" s="547">
        <f>'[2]Úspora času'!$BV$10</f>
        <v>683288.72424999985</v>
      </c>
      <c r="BL106" s="547">
        <f>'[2]Úspora času'!$BV$11</f>
        <v>686094.01519999991</v>
      </c>
      <c r="BM106" s="547">
        <f>'[2]Úspora času'!$BV$12</f>
        <v>688899.30614999984</v>
      </c>
      <c r="BN106" s="547">
        <f>'[2]Úspora času'!$BV$13</f>
        <v>691704.5970999999</v>
      </c>
      <c r="BO106" s="548">
        <f>'[2]Úspora času'!$BV$14</f>
        <v>694509.88804999995</v>
      </c>
      <c r="BP106" s="227"/>
      <c r="BR106" s="496" t="s">
        <v>309</v>
      </c>
      <c r="BS106" s="497">
        <f>$N$147*'[2]Úspora času'!$BT$40</f>
        <v>355376.55642857146</v>
      </c>
      <c r="BT106" s="497">
        <f>$N$147*'[2]Úspora času'!$BT$41</f>
        <v>357165.93107142858</v>
      </c>
      <c r="BU106" s="497">
        <f>$N$147*'[2]Úspora času'!$BT$42</f>
        <v>358955.30571428576</v>
      </c>
      <c r="BV106" s="497">
        <f>$N$147*'[2]Úspora času'!$BT$43</f>
        <v>360947.25107142859</v>
      </c>
      <c r="BW106" s="497">
        <f>$N$147*'[2]Úspora času'!$BT$44</f>
        <v>362939.19642857148</v>
      </c>
      <c r="BX106" s="497"/>
      <c r="BY106" s="497">
        <f>$N$147*'[2]Úspora času'!$BT$45</f>
        <v>364931.14178571431</v>
      </c>
      <c r="BZ106" s="497">
        <f>$N$147*'[2]Úspora času'!$BT$46</f>
        <v>365883.22414285719</v>
      </c>
      <c r="CA106" s="497"/>
      <c r="CB106" s="497"/>
      <c r="CC106" s="497">
        <f>$N$147*'[2]Úspora času'!$BT$47</f>
        <v>366835.30649999995</v>
      </c>
      <c r="CD106" s="497">
        <f>$N$147*'[2]Úspora času'!$BT$48</f>
        <v>368192.53028571431</v>
      </c>
      <c r="CE106" s="498">
        <f>$N$147*'[2]Úspora času'!$BT$49</f>
        <v>369549.75407142856</v>
      </c>
    </row>
    <row r="107" spans="1:89" ht="15" hidden="1" customHeight="1" thickBot="1" x14ac:dyDescent="0.35">
      <c r="A107" s="1076" t="s">
        <v>321</v>
      </c>
      <c r="B107" s="1076"/>
      <c r="C107" s="1076"/>
      <c r="D107" s="421"/>
      <c r="E107" s="423"/>
      <c r="F107" s="423"/>
      <c r="G107" s="324"/>
      <c r="H107" s="324"/>
      <c r="I107" s="324"/>
      <c r="L107" s="211" t="s">
        <v>240</v>
      </c>
      <c r="M107" s="199" t="s">
        <v>242</v>
      </c>
      <c r="AZ107" s="527"/>
      <c r="BA107" s="546"/>
      <c r="BB107" s="664"/>
      <c r="BC107" s="547"/>
      <c r="BD107" s="547"/>
      <c r="BE107" s="547"/>
      <c r="BF107" s="547"/>
      <c r="BG107" s="547"/>
      <c r="BH107" s="547"/>
      <c r="BI107" s="547"/>
      <c r="BJ107" s="547"/>
      <c r="BK107" s="547"/>
      <c r="BL107" s="547"/>
      <c r="BM107" s="547"/>
      <c r="BN107" s="547"/>
      <c r="BO107" s="548"/>
      <c r="BP107" s="227"/>
      <c r="BQ107" s="225"/>
    </row>
    <row r="108" spans="1:89" ht="15" customHeight="1" thickBot="1" x14ac:dyDescent="0.35">
      <c r="A108" s="945" t="s">
        <v>149</v>
      </c>
      <c r="B108" s="946" t="s">
        <v>150</v>
      </c>
      <c r="C108" s="946" t="s">
        <v>151</v>
      </c>
      <c r="D108" s="211"/>
      <c r="E108" s="211"/>
      <c r="F108" s="211"/>
      <c r="G108" s="324"/>
      <c r="H108" s="352" t="s">
        <v>303</v>
      </c>
      <c r="I108" s="199"/>
      <c r="J108" s="199"/>
      <c r="L108" s="211" t="s">
        <v>241</v>
      </c>
      <c r="M108" s="199" t="s">
        <v>243</v>
      </c>
      <c r="AZ108" s="345" t="s">
        <v>300</v>
      </c>
      <c r="BA108" s="486"/>
      <c r="BB108" s="665">
        <f t="shared" si="13"/>
        <v>362187.77777777775</v>
      </c>
      <c r="BC108" s="194"/>
      <c r="BD108" s="194"/>
      <c r="BE108" s="194"/>
      <c r="BF108" s="194">
        <f>'[2]Úspora času'!$CC$5</f>
        <v>381238.85488888883</v>
      </c>
      <c r="BG108" s="194">
        <f>'[2]Úspora času'!$CC$6</f>
        <v>383158.4501111111</v>
      </c>
      <c r="BH108" s="194">
        <f>'[2]Úspora času'!$CC$7</f>
        <v>385078.04533333337</v>
      </c>
      <c r="BI108" s="194">
        <f>'[2]Úspora času'!$CC$8</f>
        <v>387214.95322222216</v>
      </c>
      <c r="BJ108" s="194">
        <f>'[2]Úspora času'!$CC$9</f>
        <v>389351.86111111112</v>
      </c>
      <c r="BK108" s="194">
        <f>'[2]Úspora času'!$CC$10</f>
        <v>391488.76899999997</v>
      </c>
      <c r="BL108" s="194">
        <f>'[2]Úspora času'!$CC$11</f>
        <v>392510.13853333332</v>
      </c>
      <c r="BM108" s="194">
        <f>'[2]Úspora času'!$CC$12</f>
        <v>393531.5080666666</v>
      </c>
      <c r="BN108" s="194">
        <f>'[2]Úspora času'!$CC$13</f>
        <v>394987.50293333328</v>
      </c>
      <c r="BO108" s="489">
        <f>'[2]Úspora času'!$CC$14</f>
        <v>396443.49779999995</v>
      </c>
      <c r="BP108" s="227"/>
      <c r="BQ108" s="223"/>
    </row>
    <row r="109" spans="1:89" ht="15" customHeight="1" thickBot="1" x14ac:dyDescent="0.35">
      <c r="A109" s="938" t="s">
        <v>216</v>
      </c>
      <c r="B109" s="953">
        <v>0</v>
      </c>
      <c r="C109" s="953">
        <v>0</v>
      </c>
      <c r="D109" s="427"/>
      <c r="E109" s="427"/>
      <c r="F109" s="427"/>
      <c r="G109" s="324"/>
      <c r="H109" s="352"/>
      <c r="I109" s="199"/>
      <c r="J109" s="199"/>
      <c r="AZ109" s="526" t="s">
        <v>295</v>
      </c>
      <c r="BA109" s="485"/>
      <c r="BB109" s="663">
        <f t="shared" si="13"/>
        <v>0</v>
      </c>
      <c r="BC109" s="190"/>
      <c r="BD109" s="190"/>
      <c r="BE109" s="190"/>
      <c r="BF109" s="190">
        <f>'[2]Úspora času'!$CI$5</f>
        <v>0</v>
      </c>
      <c r="BG109" s="190">
        <f>'[2]Úspora času'!$CI$6</f>
        <v>0</v>
      </c>
      <c r="BH109" s="190">
        <f>'[2]Úspora času'!$CI$7</f>
        <v>0</v>
      </c>
      <c r="BI109" s="190">
        <f>'[2]Úspora času'!$CI$8</f>
        <v>0</v>
      </c>
      <c r="BJ109" s="190">
        <f>'[2]Úspora času'!$CI$9</f>
        <v>0</v>
      </c>
      <c r="BK109" s="190">
        <f>'[2]Úspora času'!$CI$10</f>
        <v>0</v>
      </c>
      <c r="BL109" s="190">
        <f>'[2]Úspora času'!$CI$11</f>
        <v>0</v>
      </c>
      <c r="BM109" s="190">
        <f>'[2]Úspora času'!$CI$12</f>
        <v>0</v>
      </c>
      <c r="BN109" s="190">
        <f>'[2]Úspora času'!$CI$13</f>
        <v>0</v>
      </c>
      <c r="BO109" s="221">
        <f>'[2]Úspora času'!$CI$14</f>
        <v>0</v>
      </c>
      <c r="BP109" s="227"/>
      <c r="BQ109" s="228"/>
    </row>
    <row r="110" spans="1:89" ht="15" customHeight="1" thickBot="1" x14ac:dyDescent="0.35">
      <c r="A110" s="938" t="s">
        <v>215</v>
      </c>
      <c r="B110" s="953">
        <v>10</v>
      </c>
      <c r="C110" s="953">
        <v>10</v>
      </c>
      <c r="D110" s="427"/>
      <c r="E110" s="427"/>
      <c r="F110" s="427"/>
      <c r="G110" s="324"/>
      <c r="H110" s="35" t="s">
        <v>304</v>
      </c>
      <c r="I110" s="353" t="s">
        <v>305</v>
      </c>
      <c r="J110" s="353" t="s">
        <v>306</v>
      </c>
      <c r="L110" s="356"/>
      <c r="M110" s="2" t="s">
        <v>356</v>
      </c>
      <c r="AZ110" s="525" t="s">
        <v>301</v>
      </c>
      <c r="BA110" s="487"/>
      <c r="BB110" s="666">
        <f t="shared" si="13"/>
        <v>352719.64285714284</v>
      </c>
      <c r="BC110" s="344"/>
      <c r="BD110" s="344"/>
      <c r="BE110" s="344"/>
      <c r="BF110" s="344">
        <f>'[2]Úspora času'!$CG$5</f>
        <v>371272.69607142854</v>
      </c>
      <c r="BG110" s="344">
        <f>'[2]Úspora času'!$CG$6</f>
        <v>373142.11017857143</v>
      </c>
      <c r="BH110" s="344">
        <f>'[2]Úspora času'!$CG$7</f>
        <v>375011.52428571432</v>
      </c>
      <c r="BI110" s="344">
        <f>'[2]Úspora času'!$CG$8</f>
        <v>377092.57017857139</v>
      </c>
      <c r="BJ110" s="344">
        <f>'[2]Úspora času'!$CG$9</f>
        <v>379173.61607142864</v>
      </c>
      <c r="BK110" s="344">
        <f>'[2]Úspora času'!$CG$10</f>
        <v>381254.66196428571</v>
      </c>
      <c r="BL110" s="344">
        <f>'[2]Úspora času'!$CG$11</f>
        <v>382249.33135714283</v>
      </c>
      <c r="BM110" s="344">
        <f>'[2]Úspora času'!$CG$12</f>
        <v>383244.00074999995</v>
      </c>
      <c r="BN110" s="344">
        <f>'[2]Úspora času'!$CG$13</f>
        <v>384661.93371428567</v>
      </c>
      <c r="BO110" s="348">
        <f>'[2]Úspora času'!$CG$14</f>
        <v>386079.86667857139</v>
      </c>
      <c r="BP110" s="227"/>
      <c r="BQ110" s="228"/>
    </row>
    <row r="111" spans="1:89" ht="15" customHeight="1" thickBot="1" x14ac:dyDescent="0.35">
      <c r="A111" s="945" t="s">
        <v>152</v>
      </c>
      <c r="B111" s="953">
        <v>0</v>
      </c>
      <c r="C111" s="953">
        <v>0</v>
      </c>
      <c r="D111" s="427"/>
      <c r="E111" s="428"/>
      <c r="F111" s="428"/>
      <c r="H111" s="336" t="s">
        <v>307</v>
      </c>
      <c r="I111" s="354">
        <v>2363.4666666666662</v>
      </c>
      <c r="J111" s="355">
        <v>1976.7222222222222</v>
      </c>
      <c r="L111" s="356"/>
      <c r="M111" s="452">
        <f>I111*$P$5+J111*$P$6</f>
        <v>818963.21111111098</v>
      </c>
      <c r="O111" s="445">
        <f>M111/M126</f>
        <v>0.93745534340971282</v>
      </c>
      <c r="P111" s="2" t="s">
        <v>349</v>
      </c>
      <c r="AZ111" s="195" t="s">
        <v>626</v>
      </c>
      <c r="BA111" s="488"/>
      <c r="BB111" s="667">
        <f>SUM(BB105:BB110)</f>
        <v>2536524.9206349202</v>
      </c>
      <c r="BC111" s="196">
        <f>SUM(BC105:BC106)</f>
        <v>0</v>
      </c>
      <c r="BD111" s="196">
        <f>SUM(BD105:BD106)</f>
        <v>0</v>
      </c>
      <c r="BE111" s="196">
        <f>SUM(BE105:BE106)</f>
        <v>0</v>
      </c>
      <c r="BF111" s="196">
        <f>SUM(BF105:BF110)</f>
        <v>2732245.4499603175</v>
      </c>
      <c r="BG111" s="196">
        <f t="shared" ref="BG111:BO111" si="14">SUM(BG105:BG110)</f>
        <v>2750060.9140396826</v>
      </c>
      <c r="BH111" s="196">
        <f t="shared" si="14"/>
        <v>2767876.3781190473</v>
      </c>
      <c r="BI111" s="196">
        <f t="shared" si="14"/>
        <v>2786120.7866507927</v>
      </c>
      <c r="BJ111" s="196">
        <f t="shared" si="14"/>
        <v>2804365.1951825395</v>
      </c>
      <c r="BK111" s="196">
        <f t="shared" si="14"/>
        <v>2822609.603714285</v>
      </c>
      <c r="BL111" s="196">
        <f t="shared" si="14"/>
        <v>2833041.515490476</v>
      </c>
      <c r="BM111" s="196">
        <f t="shared" si="14"/>
        <v>2843473.4272666662</v>
      </c>
      <c r="BN111" s="196">
        <f t="shared" si="14"/>
        <v>2854763.2279476183</v>
      </c>
      <c r="BO111" s="290">
        <f t="shared" si="14"/>
        <v>2866053.028628571</v>
      </c>
      <c r="BP111" s="229"/>
      <c r="BQ111" s="228"/>
    </row>
    <row r="112" spans="1:89" ht="15" thickBot="1" x14ac:dyDescent="0.35">
      <c r="A112" s="938" t="s">
        <v>153</v>
      </c>
      <c r="B112" s="953">
        <v>12</v>
      </c>
      <c r="C112" s="953">
        <v>11</v>
      </c>
      <c r="D112" s="427"/>
      <c r="E112" s="428"/>
      <c r="F112" s="428"/>
      <c r="H112" s="336" t="s">
        <v>308</v>
      </c>
      <c r="I112" s="354">
        <v>6023.2777777777783</v>
      </c>
      <c r="J112" s="354">
        <v>3751.4444444444443</v>
      </c>
      <c r="L112" s="356"/>
      <c r="M112" s="452">
        <f>I112*$P$5+J112*$P$6</f>
        <v>1941779.2222222225</v>
      </c>
      <c r="O112" s="445">
        <f>M112/M127</f>
        <v>0.96400413240932392</v>
      </c>
      <c r="P112" s="2" t="s">
        <v>348</v>
      </c>
      <c r="AZ112" s="184"/>
      <c r="BA112" s="184"/>
      <c r="BB112" s="184"/>
      <c r="BC112" s="184"/>
      <c r="BD112" s="184"/>
      <c r="BE112" s="184"/>
      <c r="BF112" s="184"/>
      <c r="BG112" s="184"/>
      <c r="BH112" s="184"/>
      <c r="BI112" s="184"/>
      <c r="BJ112" s="184"/>
      <c r="BK112" s="184"/>
      <c r="BL112" s="184"/>
      <c r="BM112" s="184"/>
      <c r="BN112" s="184"/>
      <c r="BO112" s="184"/>
      <c r="BQ112" s="228"/>
    </row>
    <row r="113" spans="1:83" ht="15.75" customHeight="1" thickBot="1" x14ac:dyDescent="0.35">
      <c r="A113" s="1140" t="s">
        <v>315</v>
      </c>
      <c r="B113" s="1140"/>
      <c r="C113" s="1140"/>
      <c r="D113" s="425"/>
      <c r="H113" s="199"/>
      <c r="I113" s="199"/>
      <c r="J113" s="199"/>
      <c r="L113" s="356"/>
      <c r="AZ113" s="1106" t="s">
        <v>625</v>
      </c>
      <c r="BA113" s="1107"/>
      <c r="BB113" s="1107"/>
      <c r="BC113" s="1107"/>
      <c r="BD113" s="1107"/>
      <c r="BE113" s="1107"/>
      <c r="BF113" s="1107"/>
      <c r="BG113" s="1107"/>
      <c r="BH113" s="1107"/>
      <c r="BI113" s="1107"/>
      <c r="BJ113" s="1107"/>
      <c r="BK113" s="1107"/>
      <c r="BL113" s="1107"/>
      <c r="BM113" s="1107"/>
      <c r="BN113" s="1108"/>
      <c r="BO113" s="483"/>
      <c r="BP113" s="224"/>
      <c r="BQ113" s="228"/>
      <c r="BR113" s="1112" t="s">
        <v>401</v>
      </c>
      <c r="BS113" s="1113"/>
      <c r="BT113" s="1113"/>
      <c r="BU113" s="1113"/>
      <c r="BV113" s="1113"/>
      <c r="BW113" s="1113"/>
      <c r="BX113" s="1113"/>
      <c r="BY113" s="1113"/>
      <c r="BZ113" s="1113"/>
      <c r="CA113" s="1113"/>
      <c r="CB113" s="1113"/>
      <c r="CC113" s="1113"/>
      <c r="CD113" s="1113"/>
      <c r="CE113" s="1114"/>
    </row>
    <row r="114" spans="1:83" ht="15" thickBot="1" x14ac:dyDescent="0.35">
      <c r="A114" s="1076" t="s">
        <v>322</v>
      </c>
      <c r="B114" s="1076"/>
      <c r="C114" s="1076"/>
      <c r="D114" s="421"/>
      <c r="H114" s="35" t="s">
        <v>309</v>
      </c>
      <c r="I114" s="353" t="s">
        <v>305</v>
      </c>
      <c r="J114" s="353" t="s">
        <v>306</v>
      </c>
      <c r="L114" s="357"/>
      <c r="AZ114" s="182" t="s">
        <v>0</v>
      </c>
      <c r="BA114" s="484"/>
      <c r="BB114" s="198">
        <f>BO104+1</f>
        <v>2035</v>
      </c>
      <c r="BC114" s="198"/>
      <c r="BD114" s="198"/>
      <c r="BE114" s="198"/>
      <c r="BF114" s="198">
        <f>BB114+1</f>
        <v>2036</v>
      </c>
      <c r="BG114" s="198">
        <f>BF114+1</f>
        <v>2037</v>
      </c>
      <c r="BH114" s="198">
        <f t="shared" ref="BH114:BO114" si="15">BG114+1</f>
        <v>2038</v>
      </c>
      <c r="BI114" s="198">
        <f t="shared" si="15"/>
        <v>2039</v>
      </c>
      <c r="BJ114" s="198">
        <f t="shared" si="15"/>
        <v>2040</v>
      </c>
      <c r="BK114" s="198">
        <f t="shared" si="15"/>
        <v>2041</v>
      </c>
      <c r="BL114" s="198">
        <f t="shared" si="15"/>
        <v>2042</v>
      </c>
      <c r="BM114" s="198">
        <f t="shared" si="15"/>
        <v>2043</v>
      </c>
      <c r="BN114" s="213">
        <f t="shared" si="15"/>
        <v>2044</v>
      </c>
      <c r="BO114" s="658">
        <f t="shared" si="15"/>
        <v>2045</v>
      </c>
      <c r="BP114" s="226"/>
      <c r="BQ114" s="228"/>
      <c r="BR114" s="491"/>
      <c r="BS114" s="492">
        <f>CE104+1</f>
        <v>2035</v>
      </c>
      <c r="BT114" s="492">
        <f>BS114+1</f>
        <v>2036</v>
      </c>
      <c r="BU114" s="492">
        <f t="shared" ref="BU114:CE114" si="16">BT114+1</f>
        <v>2037</v>
      </c>
      <c r="BV114" s="492">
        <f t="shared" si="16"/>
        <v>2038</v>
      </c>
      <c r="BW114" s="492">
        <f t="shared" si="16"/>
        <v>2039</v>
      </c>
      <c r="BX114" s="492"/>
      <c r="BY114" s="492">
        <f>BW114+1</f>
        <v>2040</v>
      </c>
      <c r="BZ114" s="492">
        <f t="shared" si="16"/>
        <v>2041</v>
      </c>
      <c r="CA114" s="492"/>
      <c r="CB114" s="492"/>
      <c r="CC114" s="492">
        <f>BZ114+1</f>
        <v>2042</v>
      </c>
      <c r="CD114" s="492">
        <f t="shared" si="16"/>
        <v>2043</v>
      </c>
      <c r="CE114" s="493">
        <f t="shared" si="16"/>
        <v>2044</v>
      </c>
    </row>
    <row r="115" spans="1:83" s="12" customFormat="1" ht="15" customHeight="1" thickBot="1" x14ac:dyDescent="0.35">
      <c r="A115" s="945" t="s">
        <v>149</v>
      </c>
      <c r="B115" s="946" t="s">
        <v>150</v>
      </c>
      <c r="C115" s="946" t="s">
        <v>151</v>
      </c>
      <c r="D115" s="211"/>
      <c r="E115" s="34"/>
      <c r="F115" s="34"/>
      <c r="G115" s="11"/>
      <c r="H115" s="336" t="s">
        <v>310</v>
      </c>
      <c r="I115" s="354">
        <v>679.66666666666674</v>
      </c>
      <c r="J115" s="355">
        <v>807.33333333333337</v>
      </c>
      <c r="L115" s="356"/>
      <c r="M115" s="443">
        <f>I115*$P$5+J115*$P$6</f>
        <v>262504.66666666669</v>
      </c>
      <c r="AZ115" s="526" t="s">
        <v>419</v>
      </c>
      <c r="BA115" s="485"/>
      <c r="BB115" s="190">
        <f>'[2]Úspora času'!$BZ$15</f>
        <v>1394630.3579999995</v>
      </c>
      <c r="BC115" s="190"/>
      <c r="BD115" s="190"/>
      <c r="BE115" s="190"/>
      <c r="BF115" s="190">
        <f>'[2]Úspora času'!$BZ$16</f>
        <v>1400410.9575333332</v>
      </c>
      <c r="BG115" s="190">
        <f>'[2]Úspora času'!$BZ$17</f>
        <v>1406191.5570666667</v>
      </c>
      <c r="BH115" s="190">
        <f>'[2]Úspora času'!$BZ$18</f>
        <v>1411972.1565999996</v>
      </c>
      <c r="BI115" s="190">
        <f>'[2]Úspora času'!$BZ$19</f>
        <v>1417752.7561333331</v>
      </c>
      <c r="BJ115" s="190">
        <f>'[2]Úspora času'!$BZ$20</f>
        <v>1423533.3556666663</v>
      </c>
      <c r="BK115" s="190">
        <f>'[2]Úspora času'!$BZ$21</f>
        <v>1429483.9728333328</v>
      </c>
      <c r="BL115" s="190">
        <f>'[2]Úspora času'!$BZ$22</f>
        <v>1435434.5899999999</v>
      </c>
      <c r="BM115" s="190">
        <f>'[2]Úspora času'!$BZ$23</f>
        <v>1441385.2071666664</v>
      </c>
      <c r="BN115" s="221">
        <f>'[2]Úspora času'!$BZ$24</f>
        <v>1447335.8243333332</v>
      </c>
      <c r="BO115" s="659">
        <f>'[2]Úspora času'!$BZ$25</f>
        <v>1453286.4414999997</v>
      </c>
      <c r="BP115" s="227"/>
      <c r="BQ115" s="230"/>
      <c r="BR115" s="494" t="s">
        <v>304</v>
      </c>
      <c r="BS115" s="490">
        <f>$N$146*'[2]Úspora času'!$BQ$50</f>
        <v>1496703.3399999999</v>
      </c>
      <c r="BT115" s="490">
        <f>$N$146*'[2]Úspora času'!$BQ$51</f>
        <v>1502907.0215555555</v>
      </c>
      <c r="BU115" s="490">
        <f>$N$146*'[2]Úspora času'!$BQ$52</f>
        <v>1509110.7031111112</v>
      </c>
      <c r="BV115" s="490">
        <f>$N$146*'[2]Úspora času'!$BQ$53</f>
        <v>1515314.3846666666</v>
      </c>
      <c r="BW115" s="490">
        <f>$N$146*'[2]Úspora času'!$BQ$54</f>
        <v>1521518.0662222223</v>
      </c>
      <c r="BX115" s="490"/>
      <c r="BY115" s="490">
        <f>$N$146*'[2]Úspora času'!$BQ$55</f>
        <v>1527721.7477777777</v>
      </c>
      <c r="BZ115" s="490">
        <f>$N$146*'[2]Úspora času'!$BQ$56</f>
        <v>1534107.8905555555</v>
      </c>
      <c r="CA115" s="490"/>
      <c r="CB115" s="490"/>
      <c r="CC115" s="490">
        <f>$N$146*'[2]Úspora času'!$BQ$57</f>
        <v>1540494.0333333332</v>
      </c>
      <c r="CD115" s="490">
        <f>$N$146*'[2]Úspora času'!$BQ$58</f>
        <v>1546880.176111111</v>
      </c>
      <c r="CE115" s="495">
        <f>$N$146*'[2]Úspora času'!$BQ$59</f>
        <v>1553266.3188888889</v>
      </c>
    </row>
    <row r="116" spans="1:83" ht="15.75" customHeight="1" thickBot="1" x14ac:dyDescent="0.35">
      <c r="A116" s="938" t="s">
        <v>216</v>
      </c>
      <c r="B116" s="953">
        <v>0</v>
      </c>
      <c r="C116" s="953">
        <v>0</v>
      </c>
      <c r="D116" s="427"/>
      <c r="E116" s="9"/>
      <c r="F116" s="9"/>
      <c r="H116" s="336" t="s">
        <v>311</v>
      </c>
      <c r="I116" s="354">
        <v>800.36666666666656</v>
      </c>
      <c r="J116" s="354">
        <v>883.38888888888891</v>
      </c>
      <c r="K116" s="328"/>
      <c r="L116" s="73"/>
      <c r="M116" s="443">
        <f>I116*$P$5+J116*$P$6</f>
        <v>301515.3444444444</v>
      </c>
      <c r="AZ116" s="345" t="s">
        <v>299</v>
      </c>
      <c r="BA116" s="486"/>
      <c r="BB116" s="194">
        <f>'[2]Úspora času'!$BV$15</f>
        <v>697315.17899999977</v>
      </c>
      <c r="BC116" s="194"/>
      <c r="BD116" s="194"/>
      <c r="BE116" s="194"/>
      <c r="BF116" s="194">
        <f>'[2]Úspora času'!$BV$16</f>
        <v>700205.47876666661</v>
      </c>
      <c r="BG116" s="194">
        <f>'[2]Úspora času'!$BV$17</f>
        <v>703095.77853333333</v>
      </c>
      <c r="BH116" s="289">
        <f>'[2]Úspora času'!$BV$18</f>
        <v>705986.07829999982</v>
      </c>
      <c r="BI116" s="289">
        <f>'[2]Úspora času'!$BV$19</f>
        <v>708876.37806666654</v>
      </c>
      <c r="BJ116" s="289">
        <f>'[2]Úspora času'!$BV$20</f>
        <v>711766.67783333315</v>
      </c>
      <c r="BK116" s="289">
        <f>'[2]Úspora času'!$BV$21</f>
        <v>714741.98641666642</v>
      </c>
      <c r="BL116" s="289">
        <f>'[2]Úspora času'!$BV$22</f>
        <v>717717.29499999993</v>
      </c>
      <c r="BM116" s="289">
        <f>'[2]Úspora času'!$BV$23</f>
        <v>720692.6035833332</v>
      </c>
      <c r="BN116" s="489">
        <f>'[2]Úspora času'!$BV$24</f>
        <v>723667.91216666659</v>
      </c>
      <c r="BO116" s="660">
        <f>'[2]Úspora času'!$BV$25</f>
        <v>726643.22074999986</v>
      </c>
      <c r="BP116" s="227"/>
      <c r="BR116" s="496" t="s">
        <v>309</v>
      </c>
      <c r="BS116" s="497">
        <f>$N$147*'[2]Úspora času'!$BT$50</f>
        <v>370906.9778571428</v>
      </c>
      <c r="BT116" s="497">
        <f>$N$147*'[2]Úspora času'!$BT$51</f>
        <v>372311.46814285713</v>
      </c>
      <c r="BU116" s="497">
        <f>$N$147*'[2]Úspora času'!$BT$52</f>
        <v>373715.95842857141</v>
      </c>
      <c r="BV116" s="497">
        <f>$N$147*'[2]Úspora času'!$BT$53</f>
        <v>374917.87799999997</v>
      </c>
      <c r="BW116" s="497">
        <f>$N$147*'[2]Úspora času'!$BT$54</f>
        <v>376119.79757142859</v>
      </c>
      <c r="BX116" s="497"/>
      <c r="BY116" s="497">
        <f>$N$147*'[2]Úspora času'!$BT$55</f>
        <v>377321.71714285715</v>
      </c>
      <c r="BZ116" s="497">
        <f>$N$147*'[2]Úspora času'!$BT$56</f>
        <v>378570.90321428573</v>
      </c>
      <c r="CA116" s="497"/>
      <c r="CB116" s="497"/>
      <c r="CC116" s="497">
        <f>$N$147*'[2]Úspora času'!$BT$57</f>
        <v>379820.08928571432</v>
      </c>
      <c r="CD116" s="497">
        <f>$N$147*'[2]Úspora času'!$BT$58</f>
        <v>381271.84607142856</v>
      </c>
      <c r="CE116" s="498">
        <f>$N$147*'[2]Úspora času'!$BT$59</f>
        <v>382723.60285714286</v>
      </c>
    </row>
    <row r="117" spans="1:83" ht="15.75" hidden="1" customHeight="1" thickBot="1" x14ac:dyDescent="0.35">
      <c r="A117" s="938" t="s">
        <v>215</v>
      </c>
      <c r="B117" s="953">
        <v>10</v>
      </c>
      <c r="C117" s="953">
        <v>10</v>
      </c>
      <c r="D117" s="427"/>
      <c r="E117" s="9"/>
      <c r="F117" s="9"/>
      <c r="G117" s="324"/>
      <c r="H117" s="336" t="s">
        <v>312</v>
      </c>
      <c r="I117" s="354">
        <v>808.5</v>
      </c>
      <c r="J117" s="354">
        <v>906.27777777777771</v>
      </c>
      <c r="K117" s="328"/>
      <c r="L117" s="73"/>
      <c r="M117" s="443">
        <f>I117*$P$5+J117*$P$6</f>
        <v>306151.38888888888</v>
      </c>
      <c r="AZ117" s="237"/>
      <c r="BA117" s="485"/>
      <c r="BB117" s="190"/>
      <c r="BC117" s="343"/>
      <c r="BD117" s="343"/>
      <c r="BE117" s="343"/>
      <c r="BF117" s="190"/>
      <c r="BG117" s="190"/>
      <c r="BH117" s="190"/>
      <c r="BI117" s="190"/>
      <c r="BJ117" s="190"/>
      <c r="BK117" s="190"/>
      <c r="BL117" s="190"/>
      <c r="BM117" s="190"/>
      <c r="BN117" s="221"/>
      <c r="BO117" s="659"/>
      <c r="BP117" s="227"/>
      <c r="BQ117" s="225"/>
    </row>
    <row r="118" spans="1:83" ht="15.75" customHeight="1" thickBot="1" x14ac:dyDescent="0.35">
      <c r="A118" s="945" t="s">
        <v>152</v>
      </c>
      <c r="B118" s="953">
        <v>0</v>
      </c>
      <c r="C118" s="953">
        <v>0</v>
      </c>
      <c r="D118" s="427"/>
      <c r="E118" s="9"/>
      <c r="F118" s="9"/>
      <c r="G118" s="324"/>
      <c r="H118" s="336" t="s">
        <v>313</v>
      </c>
      <c r="I118" s="354">
        <v>901.42222222222222</v>
      </c>
      <c r="J118" s="354">
        <v>950.44444444444446</v>
      </c>
      <c r="K118" s="328"/>
      <c r="L118" s="73"/>
      <c r="M118" s="443">
        <f>I118*$P$5+J118*$P$6</f>
        <v>334558.62222222221</v>
      </c>
      <c r="AZ118" s="236" t="s">
        <v>300</v>
      </c>
      <c r="BA118" s="487"/>
      <c r="BB118" s="344">
        <f>'[2]Úspora času'!$CC$15</f>
        <v>397899.49266666657</v>
      </c>
      <c r="BC118" s="343"/>
      <c r="BD118" s="343"/>
      <c r="BE118" s="343"/>
      <c r="BF118" s="344">
        <f>'[2]Úspora času'!$CC$16</f>
        <v>399406.19382222218</v>
      </c>
      <c r="BG118" s="344">
        <f>'[2]Úspora času'!$CC$17</f>
        <v>400912.89497777773</v>
      </c>
      <c r="BH118" s="344">
        <f>'[2]Úspora času'!$CC$18</f>
        <v>402202.28346666659</v>
      </c>
      <c r="BI118" s="344">
        <f>'[2]Úspora času'!$CC$19</f>
        <v>403491.6719555555</v>
      </c>
      <c r="BJ118" s="344">
        <f>'[2]Úspora času'!$CC$20</f>
        <v>404781.06044444442</v>
      </c>
      <c r="BK118" s="344">
        <f>'[2]Úspora času'!$CC$21</f>
        <v>406121.15522222221</v>
      </c>
      <c r="BL118" s="344">
        <f>'[2]Úspora času'!$CC$22</f>
        <v>407461.25</v>
      </c>
      <c r="BM118" s="344">
        <f>'[2]Úspora času'!$CC$23</f>
        <v>409018.65744444443</v>
      </c>
      <c r="BN118" s="348">
        <f>'[2]Úspora času'!$CC$24</f>
        <v>410576.06488888885</v>
      </c>
      <c r="BO118" s="660">
        <f>'[2]Úspora času'!$CC$25</f>
        <v>412133.47233333328</v>
      </c>
      <c r="BP118" s="227"/>
    </row>
    <row r="119" spans="1:83" ht="15.75" customHeight="1" thickBot="1" x14ac:dyDescent="0.35">
      <c r="A119" s="938" t="s">
        <v>153</v>
      </c>
      <c r="B119" s="953">
        <v>11</v>
      </c>
      <c r="C119" s="953">
        <v>11</v>
      </c>
      <c r="D119" s="427"/>
      <c r="E119" s="9"/>
      <c r="F119" s="9"/>
      <c r="G119" s="324"/>
      <c r="H119" s="336" t="s">
        <v>314</v>
      </c>
      <c r="I119" s="354">
        <v>1024.5333333333333</v>
      </c>
      <c r="J119" s="354">
        <v>996.72222222222217</v>
      </c>
      <c r="K119" s="328"/>
      <c r="L119" s="73"/>
      <c r="M119" s="452">
        <f>I119*$P$5+J119*$P$6</f>
        <v>370812.01111111109</v>
      </c>
      <c r="O119" s="445">
        <f>M119/M139</f>
        <v>0.95487958537649709</v>
      </c>
      <c r="AZ119" s="237" t="s">
        <v>295</v>
      </c>
      <c r="BA119" s="485"/>
      <c r="BB119" s="190">
        <f>'[2]Úspora času'!$CI$15</f>
        <v>0</v>
      </c>
      <c r="BC119" s="343"/>
      <c r="BD119" s="343"/>
      <c r="BE119" s="343"/>
      <c r="BF119" s="190">
        <f>'[2]Úspora času'!$CI$16</f>
        <v>0</v>
      </c>
      <c r="BG119" s="190">
        <f>'[2]Úspora času'!$CI$17</f>
        <v>0</v>
      </c>
      <c r="BH119" s="190">
        <f>'[2]Úspora času'!$CI$18</f>
        <v>0</v>
      </c>
      <c r="BI119" s="190">
        <f>'[2]Úspora času'!$CI$19</f>
        <v>0</v>
      </c>
      <c r="BJ119" s="190">
        <f>'[2]Úspora času'!$CI$20</f>
        <v>0</v>
      </c>
      <c r="BK119" s="190">
        <f>'[2]Úspora času'!$CI$21</f>
        <v>0</v>
      </c>
      <c r="BL119" s="190">
        <f>'[2]Úspora času'!$CI$22</f>
        <v>0</v>
      </c>
      <c r="BM119" s="190">
        <f>'[2]Úspora času'!$CI$23</f>
        <v>0</v>
      </c>
      <c r="BN119" s="221">
        <f>'[2]Úspora času'!$CI$24</f>
        <v>0</v>
      </c>
      <c r="BO119" s="659">
        <f>'[2]Úspora času'!$CI$25</f>
        <v>0</v>
      </c>
      <c r="BP119" s="227"/>
      <c r="BQ119" s="12"/>
      <c r="BR119" s="12"/>
      <c r="BS119" s="12"/>
      <c r="BT119" s="12"/>
      <c r="BU119" s="12"/>
      <c r="BV119" s="12"/>
    </row>
    <row r="120" spans="1:83" ht="15.75" customHeight="1" thickBot="1" x14ac:dyDescent="0.35">
      <c r="A120" s="1140" t="s">
        <v>315</v>
      </c>
      <c r="B120" s="1140"/>
      <c r="C120" s="1140"/>
      <c r="D120" s="425"/>
      <c r="E120" s="9"/>
      <c r="F120" s="9"/>
      <c r="G120" s="324"/>
      <c r="H120" s="324"/>
      <c r="I120" s="325"/>
      <c r="J120" s="326"/>
      <c r="K120" s="326"/>
      <c r="L120" s="73"/>
      <c r="AZ120" s="236" t="s">
        <v>301</v>
      </c>
      <c r="BA120" s="487"/>
      <c r="BB120" s="344">
        <f>'[2]Úspora času'!$CG$15</f>
        <v>387497.79964285705</v>
      </c>
      <c r="BC120" s="343"/>
      <c r="BD120" s="343"/>
      <c r="BE120" s="343"/>
      <c r="BF120" s="344">
        <f>'[2]Úspora času'!$CG$16</f>
        <v>388965.11335714284</v>
      </c>
      <c r="BG120" s="344">
        <f>'[2]Úspora času'!$CG$17</f>
        <v>390432.42707142851</v>
      </c>
      <c r="BH120" s="344">
        <f>'[2]Úspora času'!$CG$18</f>
        <v>391688.10899999994</v>
      </c>
      <c r="BI120" s="344">
        <f>'[2]Úspora času'!$CG$19</f>
        <v>392943.79092857137</v>
      </c>
      <c r="BJ120" s="344">
        <f>'[2]Úspora času'!$CG$20</f>
        <v>394199.4728571428</v>
      </c>
      <c r="BK120" s="344">
        <f>'[2]Úspora času'!$CG$21</f>
        <v>395504.53553571424</v>
      </c>
      <c r="BL120" s="344">
        <f>'[2]Úspora času'!$CG$22</f>
        <v>396809.59821428568</v>
      </c>
      <c r="BM120" s="344">
        <f>'[2]Úspora času'!$CG$23</f>
        <v>398326.29267857142</v>
      </c>
      <c r="BN120" s="348">
        <f>'[2]Úspora času'!$CG$24</f>
        <v>399842.98714285711</v>
      </c>
      <c r="BO120" s="660">
        <f>'[2]Úspora času'!$CG$25</f>
        <v>401359.68160714279</v>
      </c>
      <c r="BP120" s="227"/>
    </row>
    <row r="121" spans="1:83" ht="15" thickBot="1" x14ac:dyDescent="0.35">
      <c r="A121" s="1076" t="s">
        <v>320</v>
      </c>
      <c r="B121" s="1076"/>
      <c r="C121" s="1076"/>
      <c r="D121" s="421"/>
      <c r="E121" s="9"/>
      <c r="F121" s="9"/>
      <c r="H121" s="352" t="s">
        <v>336</v>
      </c>
      <c r="I121" s="199"/>
      <c r="J121" s="199"/>
      <c r="K121" s="199"/>
      <c r="L121" s="199"/>
      <c r="T121" s="447" t="s">
        <v>351</v>
      </c>
      <c r="AX121" s="220"/>
      <c r="AZ121" s="195" t="s">
        <v>626</v>
      </c>
      <c r="BA121" s="488"/>
      <c r="BB121" s="196">
        <f>SUM(BB115:BB120)</f>
        <v>2877342.8293095231</v>
      </c>
      <c r="BC121" s="196">
        <f t="shared" ref="BC121:BO121" si="17">SUM(BC115:BC120)</f>
        <v>0</v>
      </c>
      <c r="BD121" s="196">
        <f t="shared" si="17"/>
        <v>0</v>
      </c>
      <c r="BE121" s="196">
        <f t="shared" si="17"/>
        <v>0</v>
      </c>
      <c r="BF121" s="196">
        <f t="shared" si="17"/>
        <v>2888987.743479365</v>
      </c>
      <c r="BG121" s="196">
        <f t="shared" si="17"/>
        <v>2900632.657649206</v>
      </c>
      <c r="BH121" s="196">
        <f t="shared" si="17"/>
        <v>2911848.6273666658</v>
      </c>
      <c r="BI121" s="196">
        <f t="shared" si="17"/>
        <v>2923064.5970841269</v>
      </c>
      <c r="BJ121" s="196">
        <f t="shared" si="17"/>
        <v>2934280.5668015867</v>
      </c>
      <c r="BK121" s="196">
        <f t="shared" si="17"/>
        <v>2945851.6500079357</v>
      </c>
      <c r="BL121" s="196">
        <f t="shared" si="17"/>
        <v>2957422.7332142852</v>
      </c>
      <c r="BM121" s="196">
        <f t="shared" si="17"/>
        <v>2969422.7608730155</v>
      </c>
      <c r="BN121" s="222">
        <f t="shared" si="17"/>
        <v>2981422.7885317458</v>
      </c>
      <c r="BO121" s="661">
        <f t="shared" si="17"/>
        <v>2993422.8161904756</v>
      </c>
      <c r="BP121" s="229"/>
    </row>
    <row r="122" spans="1:83" ht="15" thickBot="1" x14ac:dyDescent="0.35">
      <c r="A122" s="945" t="s">
        <v>149</v>
      </c>
      <c r="B122" s="946" t="s">
        <v>150</v>
      </c>
      <c r="C122" s="946" t="s">
        <v>151</v>
      </c>
      <c r="D122" s="211"/>
      <c r="E122" s="212"/>
      <c r="F122" s="212"/>
      <c r="G122" s="199"/>
      <c r="H122" s="352"/>
      <c r="I122" s="199"/>
      <c r="J122" s="199"/>
      <c r="K122" s="199"/>
      <c r="L122" s="199"/>
      <c r="AC122" s="991" t="s">
        <v>876</v>
      </c>
      <c r="AZ122" s="184"/>
      <c r="BA122" s="184"/>
      <c r="BB122" s="184"/>
      <c r="BC122" s="184"/>
      <c r="BD122" s="184"/>
      <c r="BE122" s="184"/>
      <c r="BF122" s="184"/>
      <c r="BG122" s="184"/>
      <c r="BH122" s="184"/>
      <c r="BI122" s="184"/>
      <c r="BJ122" s="184"/>
      <c r="BK122" s="184"/>
      <c r="BL122" s="184"/>
      <c r="BM122" s="184"/>
      <c r="BN122" s="184"/>
      <c r="BO122" s="184"/>
    </row>
    <row r="123" spans="1:83" ht="15.75" customHeight="1" thickBot="1" x14ac:dyDescent="0.35">
      <c r="A123" s="938" t="s">
        <v>216</v>
      </c>
      <c r="B123" s="953">
        <v>0</v>
      </c>
      <c r="C123" s="953">
        <v>0</v>
      </c>
      <c r="D123" s="427"/>
      <c r="E123" s="423"/>
      <c r="F123" s="423"/>
      <c r="G123" s="199"/>
      <c r="H123" s="352"/>
      <c r="I123" s="1141" t="s">
        <v>337</v>
      </c>
      <c r="J123" s="1142"/>
      <c r="K123" s="1141" t="s">
        <v>338</v>
      </c>
      <c r="L123" s="1143"/>
      <c r="M123" s="1136" t="s">
        <v>345</v>
      </c>
      <c r="N123" s="1138" t="s">
        <v>346</v>
      </c>
      <c r="O123" s="1139" t="s">
        <v>347</v>
      </c>
      <c r="Q123" s="1075" t="s">
        <v>355</v>
      </c>
      <c r="R123" s="1075"/>
      <c r="S123" s="1075"/>
      <c r="T123" s="451" t="s">
        <v>95</v>
      </c>
      <c r="U123" s="448">
        <v>2017</v>
      </c>
      <c r="V123" s="448">
        <f>U123+5</f>
        <v>2022</v>
      </c>
      <c r="W123" s="448">
        <f t="shared" ref="W123:AC123" si="18">V123+5</f>
        <v>2027</v>
      </c>
      <c r="X123" s="448">
        <f t="shared" si="18"/>
        <v>2032</v>
      </c>
      <c r="Y123" s="448">
        <f>X123+5</f>
        <v>2037</v>
      </c>
      <c r="Z123" s="448">
        <f t="shared" si="18"/>
        <v>2042</v>
      </c>
      <c r="AA123" s="448">
        <f t="shared" si="18"/>
        <v>2047</v>
      </c>
      <c r="AB123" s="448">
        <f t="shared" si="18"/>
        <v>2052</v>
      </c>
      <c r="AC123" s="448">
        <f t="shared" si="18"/>
        <v>2057</v>
      </c>
      <c r="AZ123" s="1106" t="s">
        <v>625</v>
      </c>
      <c r="BA123" s="1107"/>
      <c r="BB123" s="1107"/>
      <c r="BC123" s="1107"/>
      <c r="BD123" s="1107"/>
      <c r="BE123" s="1107"/>
      <c r="BF123" s="1107"/>
      <c r="BG123" s="1107"/>
      <c r="BH123" s="1107"/>
      <c r="BI123" s="1107"/>
      <c r="BJ123" s="1107"/>
      <c r="BK123" s="1107"/>
      <c r="BL123" s="1107"/>
      <c r="BM123" s="1108"/>
      <c r="BN123" s="224"/>
      <c r="BO123" s="225"/>
      <c r="BP123" s="225"/>
      <c r="BR123" s="1112" t="s">
        <v>401</v>
      </c>
      <c r="BS123" s="1113"/>
      <c r="BT123" s="1113"/>
      <c r="BU123" s="1113"/>
      <c r="BV123" s="1113"/>
      <c r="BW123" s="1113"/>
      <c r="BX123" s="1113"/>
      <c r="BY123" s="1113"/>
      <c r="BZ123" s="1113"/>
      <c r="CA123" s="1113"/>
      <c r="CB123" s="1113"/>
      <c r="CC123" s="1113"/>
      <c r="CD123" s="1113"/>
      <c r="CE123" s="1114"/>
    </row>
    <row r="124" spans="1:83" ht="15" thickBot="1" x14ac:dyDescent="0.35">
      <c r="A124" s="938" t="s">
        <v>215</v>
      </c>
      <c r="B124" s="953">
        <v>8</v>
      </c>
      <c r="C124" s="953">
        <v>8</v>
      </c>
      <c r="D124" s="427"/>
      <c r="E124" s="423"/>
      <c r="F124" s="423"/>
      <c r="G124" s="199"/>
      <c r="H124" s="35" t="s">
        <v>304</v>
      </c>
      <c r="I124" s="353" t="s">
        <v>305</v>
      </c>
      <c r="J124" s="353" t="s">
        <v>306</v>
      </c>
      <c r="K124" s="353" t="s">
        <v>305</v>
      </c>
      <c r="L124" s="440" t="s">
        <v>306</v>
      </c>
      <c r="M124" s="1137"/>
      <c r="N124" s="1138"/>
      <c r="O124" s="1139"/>
      <c r="Q124" s="1135" t="s">
        <v>352</v>
      </c>
      <c r="R124" s="1135"/>
      <c r="S124" s="1135"/>
      <c r="T124" s="1135"/>
      <c r="U124" s="462">
        <v>1</v>
      </c>
      <c r="V124" s="462">
        <v>0.81</v>
      </c>
      <c r="W124" s="462">
        <v>0.73</v>
      </c>
      <c r="X124" s="462">
        <v>0.69</v>
      </c>
      <c r="Y124" s="462">
        <v>0.65</v>
      </c>
      <c r="Z124" s="462">
        <v>0.63</v>
      </c>
      <c r="AA124" s="462">
        <v>0.61</v>
      </c>
      <c r="AB124" s="462">
        <v>0.59</v>
      </c>
      <c r="AZ124" s="182" t="s">
        <v>0</v>
      </c>
      <c r="BA124" s="484">
        <f>BO114</f>
        <v>2045</v>
      </c>
      <c r="BB124" s="198">
        <f>BO114+1</f>
        <v>2046</v>
      </c>
      <c r="BC124" s="198"/>
      <c r="BD124" s="198"/>
      <c r="BE124" s="198"/>
      <c r="BF124" s="198">
        <f>BB124+1</f>
        <v>2047</v>
      </c>
      <c r="BG124" s="198">
        <f>BF124+1</f>
        <v>2048</v>
      </c>
      <c r="BH124" s="198">
        <f t="shared" ref="BH124:BM124" si="19">BG124+1</f>
        <v>2049</v>
      </c>
      <c r="BI124" s="198">
        <f t="shared" si="19"/>
        <v>2050</v>
      </c>
      <c r="BJ124" s="198">
        <f t="shared" si="19"/>
        <v>2051</v>
      </c>
      <c r="BK124" s="198">
        <f t="shared" si="19"/>
        <v>2052</v>
      </c>
      <c r="BL124" s="198">
        <f t="shared" si="19"/>
        <v>2053</v>
      </c>
      <c r="BM124" s="198">
        <f t="shared" si="19"/>
        <v>2054</v>
      </c>
      <c r="BN124" s="226"/>
      <c r="BO124" s="184"/>
      <c r="BR124" s="491"/>
      <c r="BS124" s="492">
        <f>CE114+1</f>
        <v>2045</v>
      </c>
      <c r="BT124" s="492">
        <f>BS124+1</f>
        <v>2046</v>
      </c>
      <c r="BU124" s="492">
        <f t="shared" ref="BU124:CE124" si="20">BT124+1</f>
        <v>2047</v>
      </c>
      <c r="BV124" s="492">
        <f t="shared" si="20"/>
        <v>2048</v>
      </c>
      <c r="BW124" s="492">
        <f t="shared" si="20"/>
        <v>2049</v>
      </c>
      <c r="BX124" s="492"/>
      <c r="BY124" s="492">
        <f>BW124+1</f>
        <v>2050</v>
      </c>
      <c r="BZ124" s="492">
        <f t="shared" si="20"/>
        <v>2051</v>
      </c>
      <c r="CA124" s="492"/>
      <c r="CB124" s="492"/>
      <c r="CC124" s="492">
        <f>BZ124+1</f>
        <v>2052</v>
      </c>
      <c r="CD124" s="492">
        <f t="shared" si="20"/>
        <v>2053</v>
      </c>
      <c r="CE124" s="493">
        <f t="shared" si="20"/>
        <v>2054</v>
      </c>
    </row>
    <row r="125" spans="1:83" ht="15" customHeight="1" thickBot="1" x14ac:dyDescent="0.35">
      <c r="A125" s="945" t="s">
        <v>152</v>
      </c>
      <c r="B125" s="953">
        <v>0</v>
      </c>
      <c r="C125" s="953">
        <v>0</v>
      </c>
      <c r="D125" s="427"/>
      <c r="E125" s="211"/>
      <c r="F125" s="211"/>
      <c r="H125" s="336" t="s">
        <v>339</v>
      </c>
      <c r="I125" s="354">
        <v>2473.4964285714286</v>
      </c>
      <c r="J125" s="355">
        <v>1949.625</v>
      </c>
      <c r="K125" s="354">
        <v>2003.7444444444445</v>
      </c>
      <c r="L125" s="441">
        <v>1746.0555555555557</v>
      </c>
      <c r="M125" s="443">
        <f>I125*$M$5+J125*$M$6</f>
        <v>844152.59642857139</v>
      </c>
      <c r="N125" s="438">
        <f>K125*$J$5+L125*$J$6</f>
        <v>701732.5</v>
      </c>
      <c r="O125" s="445">
        <f>N125/M125</f>
        <v>0.8312863135988442</v>
      </c>
      <c r="Q125" s="1073" t="s">
        <v>353</v>
      </c>
      <c r="R125" s="1073"/>
      <c r="S125" s="1073"/>
      <c r="T125" s="1073"/>
      <c r="U125" s="449">
        <v>1</v>
      </c>
      <c r="V125" s="449">
        <v>0.91</v>
      </c>
      <c r="W125" s="449">
        <v>0.87</v>
      </c>
      <c r="X125" s="449">
        <v>0.84</v>
      </c>
      <c r="Y125" s="449">
        <v>0.83</v>
      </c>
      <c r="Z125" s="449">
        <v>0.81</v>
      </c>
      <c r="AA125" s="449">
        <v>0.8</v>
      </c>
      <c r="AB125" s="449">
        <v>0.79</v>
      </c>
      <c r="AC125" s="449">
        <v>0.78</v>
      </c>
      <c r="AD125" s="461" t="s">
        <v>349</v>
      </c>
      <c r="AE125" s="461" t="s">
        <v>350</v>
      </c>
      <c r="AF125" s="2" t="s">
        <v>365</v>
      </c>
      <c r="AZ125" s="526" t="s">
        <v>419</v>
      </c>
      <c r="BA125" s="190">
        <f t="shared" ref="BA125:BA131" si="21">BO115</f>
        <v>1453286.4414999997</v>
      </c>
      <c r="BB125" s="190">
        <f>'[2]Úspora času'!$BZ$26</f>
        <v>1459407.0762999998</v>
      </c>
      <c r="BC125" s="190"/>
      <c r="BD125" s="190"/>
      <c r="BE125" s="190"/>
      <c r="BF125" s="190">
        <f>'[2]Úspora času'!$BZ$27</f>
        <v>1465527.7110999995</v>
      </c>
      <c r="BG125" s="190">
        <f>'[2]Úspora času'!$BZ$28</f>
        <v>1471648.3458999996</v>
      </c>
      <c r="BH125" s="190">
        <f>'[2]Úspora času'!$BZ$29</f>
        <v>1477768.9806999995</v>
      </c>
      <c r="BI125" s="190">
        <f>'[2]Úspora času'!$BZ$30</f>
        <v>1483889.6154999998</v>
      </c>
      <c r="BJ125" s="190">
        <f>'[2]Úspora času'!$BZ$31</f>
        <v>1490180.2679333331</v>
      </c>
      <c r="BK125" s="190">
        <f>'[2]Úspora času'!$BZ$32</f>
        <v>1496470.9203666663</v>
      </c>
      <c r="BL125" s="190">
        <f>'[2]Úspora času'!$BZ$33</f>
        <v>1502761.5727999997</v>
      </c>
      <c r="BM125" s="190">
        <f>'[2]Úspora času'!$BZ$34</f>
        <v>1509052.225233333</v>
      </c>
      <c r="BN125" s="227"/>
      <c r="BO125" s="184"/>
      <c r="BR125" s="494" t="s">
        <v>304</v>
      </c>
      <c r="BS125" s="490">
        <f>$N$146*'[2]Úspora času'!$BQ$60</f>
        <v>1559652.4616666667</v>
      </c>
      <c r="BT125" s="490">
        <f>$N$146*'[2]Úspora času'!$BQ$61</f>
        <v>1566221.0656666667</v>
      </c>
      <c r="BU125" s="490">
        <f>$N$146*'[2]Úspora času'!$BQ$62</f>
        <v>1572789.6696666663</v>
      </c>
      <c r="BV125" s="490">
        <f>$N$146*'[2]Úspora času'!$BQ$63</f>
        <v>1579358.2736666666</v>
      </c>
      <c r="BW125" s="490">
        <f>$N$146*'[2]Úspora času'!$BQ$64</f>
        <v>1585926.8776666664</v>
      </c>
      <c r="BX125" s="490"/>
      <c r="BY125" s="490">
        <f>$N$146*'[2]Úspora času'!$BQ$65</f>
        <v>1592495.4816666667</v>
      </c>
      <c r="BZ125" s="490">
        <f>$N$146*'[2]Úspora času'!$BQ$66</f>
        <v>1599246.5468888888</v>
      </c>
      <c r="CA125" s="490"/>
      <c r="CB125" s="490"/>
      <c r="CC125" s="490">
        <f>$N$146*'[2]Úspora času'!$BQ$67</f>
        <v>1605997.6121111112</v>
      </c>
      <c r="CD125" s="490">
        <f>$N$146*'[2]Úspora času'!$BQ$68</f>
        <v>1612748.6773333333</v>
      </c>
      <c r="CE125" s="495">
        <f>$N$146*'[2]Úspora času'!$BQ$69</f>
        <v>1619499.7425555554</v>
      </c>
    </row>
    <row r="126" spans="1:83" ht="15" customHeight="1" thickBot="1" x14ac:dyDescent="0.35">
      <c r="A126" s="938" t="s">
        <v>153</v>
      </c>
      <c r="B126" s="953">
        <f>(8+9)/2</f>
        <v>8.5</v>
      </c>
      <c r="C126" s="953">
        <f>(9+10)/2</f>
        <v>9.5</v>
      </c>
      <c r="D126" s="427"/>
      <c r="E126" s="427"/>
      <c r="F126" s="427"/>
      <c r="H126" s="336" t="s">
        <v>307</v>
      </c>
      <c r="I126" s="354">
        <v>2563.1714285714288</v>
      </c>
      <c r="J126" s="354">
        <v>2010</v>
      </c>
      <c r="K126" s="354">
        <v>2067.8666666666663</v>
      </c>
      <c r="L126" s="442">
        <v>1803.5555555555557</v>
      </c>
      <c r="M126" s="444">
        <f>I126*$M$5+J126*$M$6</f>
        <v>873602.37142857153</v>
      </c>
      <c r="N126" s="439">
        <f>K126*$J$5+L126*$J$6</f>
        <v>724375.5555555555</v>
      </c>
      <c r="O126" s="446">
        <f>N126/M126</f>
        <v>0.82918222208006298</v>
      </c>
      <c r="P126" s="2" t="s">
        <v>349</v>
      </c>
      <c r="Q126" s="1073" t="s">
        <v>354</v>
      </c>
      <c r="R126" s="1073"/>
      <c r="S126" s="1073"/>
      <c r="T126" s="1073"/>
      <c r="U126" s="449">
        <v>1</v>
      </c>
      <c r="V126" s="449">
        <v>1</v>
      </c>
      <c r="W126" s="449">
        <v>1</v>
      </c>
      <c r="X126" s="449">
        <v>1</v>
      </c>
      <c r="Y126" s="449">
        <v>1</v>
      </c>
      <c r="Z126" s="449">
        <v>1</v>
      </c>
      <c r="AA126" s="449">
        <v>1</v>
      </c>
      <c r="AB126" s="449">
        <v>1</v>
      </c>
      <c r="AC126" s="449">
        <v>1</v>
      </c>
      <c r="AD126" s="461" t="s">
        <v>348</v>
      </c>
      <c r="AF126" s="2" t="s">
        <v>364</v>
      </c>
      <c r="AZ126" s="345" t="s">
        <v>299</v>
      </c>
      <c r="BA126" s="547">
        <f t="shared" si="21"/>
        <v>726643.22074999986</v>
      </c>
      <c r="BB126" s="194">
        <f>'[2]Úspora času'!$BV$26</f>
        <v>729703.53814999992</v>
      </c>
      <c r="BC126" s="194"/>
      <c r="BD126" s="194"/>
      <c r="BE126" s="194"/>
      <c r="BF126" s="194">
        <f>'[2]Úspora času'!$BV$27</f>
        <v>732763.85554999975</v>
      </c>
      <c r="BG126" s="194">
        <f>'[2]Úspora času'!$BV$28</f>
        <v>735824.1729499998</v>
      </c>
      <c r="BH126" s="194">
        <f>'[2]Úspora času'!$BV$29</f>
        <v>738884.49034999975</v>
      </c>
      <c r="BI126" s="194">
        <f>'[2]Úspora času'!$BV$30</f>
        <v>741944.80774999992</v>
      </c>
      <c r="BJ126" s="194">
        <f>'[2]Úspora času'!$BV$31</f>
        <v>745090.13396666653</v>
      </c>
      <c r="BK126" s="194">
        <f>'[2]Úspora času'!$BV$32</f>
        <v>748235.46018333314</v>
      </c>
      <c r="BL126" s="194">
        <f>'[2]Úspora času'!$BV$33</f>
        <v>751380.78639999987</v>
      </c>
      <c r="BM126" s="194">
        <f>'[2]Úspora času'!$BV$34</f>
        <v>754526.11261666648</v>
      </c>
      <c r="BN126" s="227"/>
      <c r="BO126" s="184"/>
      <c r="BR126" s="496" t="s">
        <v>309</v>
      </c>
      <c r="BS126" s="497">
        <f>$N$147*'[2]Úspora času'!$BT$60</f>
        <v>384175.3596428571</v>
      </c>
      <c r="BT126" s="497">
        <f>$N$147*'[2]Úspora času'!$BT$61</f>
        <v>385674.38292857143</v>
      </c>
      <c r="BU126" s="497">
        <f>$N$147*'[2]Úspora času'!$BT$62</f>
        <v>387173.40621428564</v>
      </c>
      <c r="BV126" s="497">
        <f>$N$147*'[2]Úspora času'!$BT$63</f>
        <v>388672.42949999997</v>
      </c>
      <c r="BW126" s="497">
        <f>$N$147*'[2]Úspora času'!$BT$64</f>
        <v>390171.45278571418</v>
      </c>
      <c r="BX126" s="497"/>
      <c r="BY126" s="497">
        <f>$N$147*'[2]Úspora času'!$BT$65</f>
        <v>391670.47607142857</v>
      </c>
      <c r="BZ126" s="497">
        <f>$N$147*'[2]Úspora času'!$BT$66</f>
        <v>393216.76585714286</v>
      </c>
      <c r="CA126" s="497"/>
      <c r="CB126" s="497"/>
      <c r="CC126" s="497">
        <f>$N$147*'[2]Úspora času'!$BT$67</f>
        <v>394763.05564285716</v>
      </c>
      <c r="CD126" s="497">
        <f>$N$147*'[2]Úspora času'!$BT$68</f>
        <v>396309.34542857145</v>
      </c>
      <c r="CE126" s="498">
        <f>$N$147*'[2]Úspora času'!$BT$69</f>
        <v>397855.63521428569</v>
      </c>
    </row>
    <row r="127" spans="1:83" ht="15" hidden="1" customHeight="1" x14ac:dyDescent="0.3">
      <c r="A127" s="1140" t="s">
        <v>315</v>
      </c>
      <c r="B127" s="1140"/>
      <c r="C127" s="1140"/>
      <c r="D127" s="425"/>
      <c r="E127" s="427"/>
      <c r="F127" s="427"/>
      <c r="G127" s="324"/>
      <c r="H127" s="336" t="s">
        <v>308</v>
      </c>
      <c r="I127" s="354">
        <v>6320.3642857142859</v>
      </c>
      <c r="J127" s="354">
        <v>3707.4375</v>
      </c>
      <c r="K127" s="354">
        <v>5648.5888888888885</v>
      </c>
      <c r="L127" s="442">
        <v>3560.6111111111109</v>
      </c>
      <c r="M127" s="444">
        <f>I127*$M$5+J127*$M$6</f>
        <v>2014285.1642857143</v>
      </c>
      <c r="N127" s="439">
        <f>K127*$J$5+L127*$J$6</f>
        <v>1821617.4999999998</v>
      </c>
      <c r="O127" s="446">
        <f>N127/M127</f>
        <v>0.9043493604074494</v>
      </c>
      <c r="P127" s="2" t="s">
        <v>348</v>
      </c>
      <c r="AZ127" s="237"/>
      <c r="BA127" s="556"/>
      <c r="BB127" s="190"/>
      <c r="BC127" s="343"/>
      <c r="BD127" s="343"/>
      <c r="BE127" s="343"/>
      <c r="BF127" s="190"/>
      <c r="BG127" s="190"/>
      <c r="BH127" s="190"/>
      <c r="BI127" s="190"/>
      <c r="BJ127" s="190"/>
      <c r="BK127" s="190"/>
      <c r="BL127" s="190"/>
      <c r="BM127" s="190"/>
      <c r="BN127" s="227"/>
      <c r="BO127" s="184"/>
      <c r="BQ127" s="225"/>
    </row>
    <row r="128" spans="1:83" ht="15" customHeight="1" thickBot="1" x14ac:dyDescent="0.35">
      <c r="A128" s="1076" t="s">
        <v>323</v>
      </c>
      <c r="B128" s="1076"/>
      <c r="C128" s="1076"/>
      <c r="D128" s="421"/>
      <c r="E128" s="1144"/>
      <c r="F128" s="427"/>
      <c r="G128" s="324"/>
      <c r="H128" s="336" t="s">
        <v>340</v>
      </c>
      <c r="I128" s="354">
        <v>6822.971428571429</v>
      </c>
      <c r="J128" s="354">
        <v>3904</v>
      </c>
      <c r="K128" s="354">
        <v>6129.9555555555562</v>
      </c>
      <c r="L128" s="442">
        <v>3748.6111111111113</v>
      </c>
      <c r="M128" s="443">
        <f>I128*$M$5+J128*$M$6</f>
        <v>2163459.7714285715</v>
      </c>
      <c r="N128" s="438">
        <f>K128*$J$5+L128*$J$6</f>
        <v>1963579.1666666667</v>
      </c>
      <c r="O128" s="445">
        <f>N128/M128</f>
        <v>0.90761066722774331</v>
      </c>
      <c r="AZ128" s="236" t="s">
        <v>300</v>
      </c>
      <c r="BA128" s="344">
        <f t="shared" si="21"/>
        <v>412133.47233333328</v>
      </c>
      <c r="BB128" s="344">
        <f>'[2]Úspora času'!$CC$26</f>
        <v>413741.58606666658</v>
      </c>
      <c r="BC128" s="343"/>
      <c r="BD128" s="343"/>
      <c r="BE128" s="343"/>
      <c r="BF128" s="344">
        <f>'[2]Úspora času'!$CC$27</f>
        <v>415349.69979999989</v>
      </c>
      <c r="BG128" s="344">
        <f>'[2]Úspora času'!$CC$28</f>
        <v>416957.81353333325</v>
      </c>
      <c r="BH128" s="344">
        <f>'[2]Úspora času'!$CC$29</f>
        <v>418565.92726666655</v>
      </c>
      <c r="BI128" s="344">
        <f>'[2]Úspora času'!$CC$30</f>
        <v>420174.04099999991</v>
      </c>
      <c r="BJ128" s="344">
        <f>'[2]Úspora času'!$CC$31</f>
        <v>421832.86102222215</v>
      </c>
      <c r="BK128" s="344">
        <f>'[2]Úspora času'!$CC$32</f>
        <v>423491.68104444438</v>
      </c>
      <c r="BL128" s="344">
        <f>'[2]Úspora času'!$CC$33</f>
        <v>425150.50106666662</v>
      </c>
      <c r="BM128" s="344">
        <f>'[2]Úspora času'!$CC$34</f>
        <v>426809.3210888888</v>
      </c>
      <c r="BN128" s="227"/>
      <c r="BO128" s="184"/>
    </row>
    <row r="129" spans="1:90" ht="15" customHeight="1" thickBot="1" x14ac:dyDescent="0.35">
      <c r="A129" s="945" t="s">
        <v>149</v>
      </c>
      <c r="B129" s="946" t="s">
        <v>150</v>
      </c>
      <c r="C129" s="946" t="s">
        <v>151</v>
      </c>
      <c r="D129" s="211"/>
      <c r="E129" s="1144"/>
      <c r="F129" s="427"/>
      <c r="G129" s="324"/>
      <c r="H129" s="336" t="s">
        <v>341</v>
      </c>
      <c r="I129" s="354">
        <v>7353.307142857142</v>
      </c>
      <c r="J129" s="354">
        <v>4082.6875</v>
      </c>
      <c r="K129" s="354">
        <v>6695.833333333333</v>
      </c>
      <c r="L129" s="442">
        <v>3933.1666666666665</v>
      </c>
      <c r="M129" s="443">
        <f>I129*$M$5+J129*$M$6</f>
        <v>2317647.7071428569</v>
      </c>
      <c r="N129" s="438">
        <f>K129*$J$5+L129*$J$6</f>
        <v>2126272.5</v>
      </c>
      <c r="O129" s="445">
        <f>N129/M129</f>
        <v>0.917426964178788</v>
      </c>
      <c r="Q129" s="456" t="s">
        <v>358</v>
      </c>
      <c r="U129" s="458">
        <v>2011</v>
      </c>
      <c r="V129" s="458">
        <v>2016</v>
      </c>
      <c r="W129" s="458">
        <v>2017</v>
      </c>
      <c r="AB129" s="2" t="s">
        <v>362</v>
      </c>
      <c r="AZ129" s="237" t="s">
        <v>295</v>
      </c>
      <c r="BA129" s="190">
        <f t="shared" si="21"/>
        <v>0</v>
      </c>
      <c r="BB129" s="190">
        <f>'[2]Úspora času'!$CI$26</f>
        <v>0</v>
      </c>
      <c r="BC129" s="343"/>
      <c r="BD129" s="343"/>
      <c r="BE129" s="343"/>
      <c r="BF129" s="190">
        <f>'[2]Úspora času'!$CI$27</f>
        <v>0</v>
      </c>
      <c r="BG129" s="190">
        <f>'[2]Úspora času'!$CI$28</f>
        <v>0</v>
      </c>
      <c r="BH129" s="190">
        <f>'[2]Úspora času'!$CI$29</f>
        <v>0</v>
      </c>
      <c r="BI129" s="190">
        <f>'[2]Úspora času'!$CI$30</f>
        <v>0</v>
      </c>
      <c r="BJ129" s="190">
        <f>'[2]Úspora času'!$CI$31</f>
        <v>0</v>
      </c>
      <c r="BK129" s="190">
        <f>'[2]Úspora času'!$CI$32</f>
        <v>0</v>
      </c>
      <c r="BL129" s="190">
        <f>'[2]Úspora času'!$CI$33</f>
        <v>0</v>
      </c>
      <c r="BM129" s="190">
        <f>'[2]Úspora času'!$CI$34</f>
        <v>0</v>
      </c>
      <c r="BN129" s="227"/>
      <c r="BO129" s="184"/>
    </row>
    <row r="130" spans="1:90" ht="15" customHeight="1" thickBot="1" x14ac:dyDescent="0.35">
      <c r="A130" s="938" t="s">
        <v>216</v>
      </c>
      <c r="B130" s="953">
        <v>0</v>
      </c>
      <c r="C130" s="953">
        <v>0</v>
      </c>
      <c r="D130" s="427"/>
      <c r="E130" s="324"/>
      <c r="G130" s="324"/>
      <c r="H130" s="200"/>
      <c r="I130" s="437"/>
      <c r="J130" s="437"/>
      <c r="K130" s="437"/>
      <c r="L130" s="437"/>
      <c r="P130" s="2">
        <v>250</v>
      </c>
      <c r="Q130" s="2" t="s">
        <v>359</v>
      </c>
      <c r="U130" s="457">
        <f>M127</f>
        <v>2014285.1642857143</v>
      </c>
      <c r="V130" s="457">
        <f>M112</f>
        <v>1941779.2222222225</v>
      </c>
      <c r="W130" s="457">
        <f>N127</f>
        <v>1821617.4999999998</v>
      </c>
      <c r="X130" s="335" t="s">
        <v>361</v>
      </c>
      <c r="AB130" s="459">
        <f>V130-((U130-V130)/5)</f>
        <v>1927278.033809524</v>
      </c>
      <c r="AC130" s="460">
        <f>AB130/U130</f>
        <v>0.95680495889118866</v>
      </c>
      <c r="AZ130" s="236" t="s">
        <v>301</v>
      </c>
      <c r="BA130" s="344">
        <f t="shared" si="21"/>
        <v>401359.68160714279</v>
      </c>
      <c r="BB130" s="344">
        <f>'[2]Úspora času'!$CG$26</f>
        <v>402925.75682142854</v>
      </c>
      <c r="BC130" s="343"/>
      <c r="BD130" s="343"/>
      <c r="BE130" s="343"/>
      <c r="BF130" s="344">
        <f>'[2]Úspora času'!$CG$27</f>
        <v>404491.83203571418</v>
      </c>
      <c r="BG130" s="344">
        <f>'[2]Úspora času'!$CG$28</f>
        <v>406057.90724999993</v>
      </c>
      <c r="BH130" s="344">
        <f>'[2]Úspora času'!$CG$29</f>
        <v>407623.98246428557</v>
      </c>
      <c r="BI130" s="344">
        <f>'[2]Úspora času'!$CG$30</f>
        <v>409190.05767857138</v>
      </c>
      <c r="BJ130" s="344">
        <f>'[2]Úspora času'!$CG$31</f>
        <v>410805.51364285708</v>
      </c>
      <c r="BK130" s="344">
        <f>'[2]Úspora času'!$CG$32</f>
        <v>412420.96960714285</v>
      </c>
      <c r="BL130" s="344">
        <f>'[2]Úspora času'!$CG$33</f>
        <v>414036.42557142855</v>
      </c>
      <c r="BM130" s="344">
        <f>'[2]Úspora času'!$CG$34</f>
        <v>415651.8815357142</v>
      </c>
      <c r="BN130" s="227"/>
      <c r="BO130" s="184"/>
    </row>
    <row r="131" spans="1:90" ht="15" customHeight="1" thickBot="1" x14ac:dyDescent="0.35">
      <c r="A131" s="938" t="s">
        <v>215</v>
      </c>
      <c r="B131" s="953">
        <v>8</v>
      </c>
      <c r="C131" s="953">
        <v>8</v>
      </c>
      <c r="D131" s="427"/>
      <c r="H131" s="453" t="s">
        <v>342</v>
      </c>
      <c r="I131" s="454"/>
      <c r="J131" s="437"/>
      <c r="K131" s="437"/>
      <c r="L131" s="437"/>
      <c r="P131" s="2">
        <v>250</v>
      </c>
      <c r="Q131" s="2" t="s">
        <v>360</v>
      </c>
      <c r="U131" s="457">
        <f>M126</f>
        <v>873602.37142857153</v>
      </c>
      <c r="V131" s="457">
        <f>M111</f>
        <v>818963.21111111098</v>
      </c>
      <c r="W131" s="457">
        <f>N126</f>
        <v>724375.5555555555</v>
      </c>
      <c r="X131" s="335"/>
      <c r="AB131" s="459">
        <f>V131-((U131-V131)/5)</f>
        <v>808035.37904761883</v>
      </c>
      <c r="AC131" s="460">
        <f>AB131/U131</f>
        <v>0.92494641209165529</v>
      </c>
      <c r="AZ131" s="195" t="s">
        <v>626</v>
      </c>
      <c r="BA131" s="196">
        <f t="shared" si="21"/>
        <v>2993422.8161904756</v>
      </c>
      <c r="BB131" s="196">
        <f>SUM(BB125:BE130)</f>
        <v>3005777.9573380947</v>
      </c>
      <c r="BC131" s="196">
        <f>SUM(BC125:BF130)</f>
        <v>3018133.0984857138</v>
      </c>
      <c r="BD131" s="196">
        <f>SUM(BD125:BG130)</f>
        <v>6048621.3381190449</v>
      </c>
      <c r="BE131" s="196">
        <f>SUM(BE125:BH130)</f>
        <v>9091464.7188999951</v>
      </c>
      <c r="BF131" s="196">
        <f t="shared" ref="BF131:BM131" si="22">SUM(BF125:BF130)</f>
        <v>3018133.0984857138</v>
      </c>
      <c r="BG131" s="196">
        <f t="shared" si="22"/>
        <v>3030488.2396333329</v>
      </c>
      <c r="BH131" s="196">
        <f t="shared" si="22"/>
        <v>3042843.3807809516</v>
      </c>
      <c r="BI131" s="196">
        <f t="shared" si="22"/>
        <v>3055198.5219285712</v>
      </c>
      <c r="BJ131" s="196">
        <f t="shared" si="22"/>
        <v>3067908.7765650786</v>
      </c>
      <c r="BK131" s="196">
        <f t="shared" si="22"/>
        <v>3080619.0312015866</v>
      </c>
      <c r="BL131" s="196">
        <f t="shared" si="22"/>
        <v>3093329.285838095</v>
      </c>
      <c r="BM131" s="196">
        <f t="shared" si="22"/>
        <v>3106039.540474602</v>
      </c>
      <c r="BN131" s="229"/>
      <c r="BO131" s="184"/>
    </row>
    <row r="132" spans="1:90" ht="15" customHeight="1" thickBot="1" x14ac:dyDescent="0.35">
      <c r="A132" s="945" t="s">
        <v>152</v>
      </c>
      <c r="B132" s="953">
        <v>0</v>
      </c>
      <c r="C132" s="953">
        <v>0</v>
      </c>
      <c r="D132" s="427"/>
      <c r="E132" s="13"/>
      <c r="G132" s="13"/>
      <c r="H132" s="200"/>
      <c r="I132" s="437"/>
      <c r="J132" s="437"/>
      <c r="K132" s="437"/>
      <c r="L132" s="437"/>
      <c r="P132" s="2">
        <v>251</v>
      </c>
      <c r="Q132" s="2" t="s">
        <v>314</v>
      </c>
      <c r="U132" s="457">
        <f>M139</f>
        <v>388333.79285714286</v>
      </c>
      <c r="V132" s="457">
        <f>M119</f>
        <v>370812.01111111109</v>
      </c>
      <c r="W132" s="457">
        <f>N139</f>
        <v>352719.64285714284</v>
      </c>
      <c r="AB132" s="455" t="s">
        <v>363</v>
      </c>
      <c r="AC132" s="455" t="s">
        <v>363</v>
      </c>
    </row>
    <row r="133" spans="1:90" ht="15" customHeight="1" thickBot="1" x14ac:dyDescent="0.35">
      <c r="A133" s="938" t="s">
        <v>153</v>
      </c>
      <c r="B133" s="953">
        <v>8</v>
      </c>
      <c r="C133" s="953">
        <v>8</v>
      </c>
      <c r="D133" s="427"/>
      <c r="H133" s="199"/>
      <c r="I133" s="1141" t="s">
        <v>337</v>
      </c>
      <c r="J133" s="1142"/>
      <c r="K133" s="1141" t="s">
        <v>338</v>
      </c>
      <c r="L133" s="1142"/>
      <c r="M133" s="1136" t="s">
        <v>345</v>
      </c>
      <c r="N133" s="1138" t="s">
        <v>346</v>
      </c>
      <c r="O133" s="1139" t="s">
        <v>347</v>
      </c>
      <c r="CH133" s="2" t="s">
        <v>549</v>
      </c>
    </row>
    <row r="134" spans="1:90" ht="15" customHeight="1" thickBot="1" x14ac:dyDescent="0.35">
      <c r="A134" s="1140" t="s">
        <v>315</v>
      </c>
      <c r="B134" s="1140"/>
      <c r="C134" s="1140"/>
      <c r="D134" s="425"/>
      <c r="H134" s="35" t="s">
        <v>309</v>
      </c>
      <c r="I134" s="353" t="s">
        <v>305</v>
      </c>
      <c r="J134" s="353" t="s">
        <v>306</v>
      </c>
      <c r="K134" s="353" t="s">
        <v>305</v>
      </c>
      <c r="L134" s="353" t="s">
        <v>306</v>
      </c>
      <c r="M134" s="1137"/>
      <c r="N134" s="1138"/>
      <c r="O134" s="1139"/>
      <c r="CH134" s="670" t="s">
        <v>409</v>
      </c>
      <c r="CI134" s="671"/>
      <c r="CJ134" s="671"/>
      <c r="CK134" s="671"/>
      <c r="CL134" s="671"/>
    </row>
    <row r="135" spans="1:90" ht="40.200000000000003" thickBot="1" x14ac:dyDescent="0.35">
      <c r="A135" s="1076" t="s">
        <v>324</v>
      </c>
      <c r="B135" s="1076"/>
      <c r="C135" s="1076"/>
      <c r="D135" s="421"/>
      <c r="H135" s="336" t="s">
        <v>310</v>
      </c>
      <c r="I135" s="354">
        <v>743.85714285714289</v>
      </c>
      <c r="J135" s="355">
        <v>665.9375</v>
      </c>
      <c r="K135" s="354">
        <v>660.13142857142861</v>
      </c>
      <c r="L135" s="355">
        <v>743.42857142857133</v>
      </c>
      <c r="M135" s="443">
        <f>I135*$M$5+J135*$M$6</f>
        <v>262780.85714285716</v>
      </c>
      <c r="N135" s="438">
        <f>K135*$J$5+L135*$J$6</f>
        <v>250527.14285714287</v>
      </c>
      <c r="O135" s="445">
        <f>N135/M135</f>
        <v>0.95336907559041595</v>
      </c>
      <c r="CH135" s="672" t="s">
        <v>410</v>
      </c>
      <c r="CI135" s="673" t="s">
        <v>66</v>
      </c>
      <c r="CJ135" s="674" t="s">
        <v>421</v>
      </c>
      <c r="CK135" s="674" t="s">
        <v>420</v>
      </c>
      <c r="CL135" s="675" t="s">
        <v>411</v>
      </c>
    </row>
    <row r="136" spans="1:90" ht="15" customHeight="1" thickBot="1" x14ac:dyDescent="0.35">
      <c r="A136" s="945" t="s">
        <v>149</v>
      </c>
      <c r="B136" s="946" t="s">
        <v>150</v>
      </c>
      <c r="C136" s="946" t="s">
        <v>151</v>
      </c>
      <c r="D136" s="211"/>
      <c r="H136" s="336" t="s">
        <v>311</v>
      </c>
      <c r="I136" s="354">
        <v>883.26428571428585</v>
      </c>
      <c r="J136" s="354">
        <v>742.625</v>
      </c>
      <c r="K136" s="354">
        <v>773.29714285714283</v>
      </c>
      <c r="L136" s="354">
        <v>815.92857142857144</v>
      </c>
      <c r="M136" s="443">
        <f>I136*$M$5+J136*$M$6</f>
        <v>306639.86428571434</v>
      </c>
      <c r="N136" s="438">
        <f>K136*$J$5+L136*$J$6</f>
        <v>287156.07142857142</v>
      </c>
      <c r="O136" s="445">
        <f>N136/M136</f>
        <v>0.93646033955001773</v>
      </c>
      <c r="CH136" s="676" t="s">
        <v>543</v>
      </c>
      <c r="CI136" s="677" t="s">
        <v>413</v>
      </c>
      <c r="CJ136" s="678">
        <v>1679.85</v>
      </c>
      <c r="CK136" s="679">
        <f>CJ136*(1+$AN$98)*(1+$AO$98)</f>
        <v>1866.0042576000001</v>
      </c>
      <c r="CL136" s="680">
        <v>19.91</v>
      </c>
    </row>
    <row r="137" spans="1:90" ht="15" customHeight="1" thickBot="1" x14ac:dyDescent="0.35">
      <c r="A137" s="938" t="s">
        <v>216</v>
      </c>
      <c r="B137" s="953">
        <v>0</v>
      </c>
      <c r="C137" s="953">
        <v>0</v>
      </c>
      <c r="D137" s="427"/>
      <c r="H137" s="336" t="s">
        <v>312</v>
      </c>
      <c r="I137" s="354">
        <v>910.57142857142867</v>
      </c>
      <c r="J137" s="354">
        <v>770.125</v>
      </c>
      <c r="K137" s="354">
        <v>788.82857142857142</v>
      </c>
      <c r="L137" s="354">
        <v>835.85714285714278</v>
      </c>
      <c r="M137" s="443">
        <f>I137*$M$5+J137*$M$6</f>
        <v>316628.57142857148</v>
      </c>
      <c r="N137" s="438">
        <f>K137*$J$5+L137*$J$6</f>
        <v>293330.71428571432</v>
      </c>
      <c r="O137" s="445">
        <f>N137/M137</f>
        <v>0.92641896769536181</v>
      </c>
      <c r="BQ137" s="2" t="s">
        <v>276</v>
      </c>
      <c r="CH137" s="681" t="s">
        <v>544</v>
      </c>
      <c r="CI137" s="682" t="s">
        <v>413</v>
      </c>
      <c r="CJ137" s="683">
        <v>3759.63</v>
      </c>
      <c r="CK137" s="684">
        <f>CJ137*(1+$AN$98)*(1+$AO$98)</f>
        <v>4176.2571580800004</v>
      </c>
      <c r="CL137" s="685">
        <v>86.48</v>
      </c>
    </row>
    <row r="138" spans="1:90" ht="15" customHeight="1" thickBot="1" x14ac:dyDescent="0.35">
      <c r="A138" s="938" t="s">
        <v>215</v>
      </c>
      <c r="B138" s="953">
        <v>0</v>
      </c>
      <c r="C138" s="953">
        <v>0</v>
      </c>
      <c r="D138" s="427"/>
      <c r="H138" s="336" t="s">
        <v>313</v>
      </c>
      <c r="I138" s="354">
        <v>1021.2785714285714</v>
      </c>
      <c r="J138" s="354">
        <v>820.75</v>
      </c>
      <c r="K138" s="354">
        <v>879.50285714285712</v>
      </c>
      <c r="L138" s="354">
        <v>879.57142857142856</v>
      </c>
      <c r="M138" s="443">
        <f>I138*$M$5+J138*$M$6</f>
        <v>350307.47857142857</v>
      </c>
      <c r="N138" s="438">
        <f>K138*$J$5+L138*$J$6</f>
        <v>321026.42857142858</v>
      </c>
      <c r="O138" s="445">
        <f>N138/M138</f>
        <v>0.91641328892146534</v>
      </c>
      <c r="BR138" s="320" t="s">
        <v>277</v>
      </c>
      <c r="BS138" s="320">
        <v>5.4880000000000004</v>
      </c>
      <c r="CH138" s="681" t="s">
        <v>544</v>
      </c>
      <c r="CI138" s="682" t="s">
        <v>414</v>
      </c>
      <c r="CJ138" s="683">
        <v>3615.03</v>
      </c>
      <c r="CK138" s="684">
        <f>CJ138*(1+$AN$98)*(1+$AO$98)</f>
        <v>4015.6331644800007</v>
      </c>
      <c r="CL138" s="685">
        <v>24.14</v>
      </c>
    </row>
    <row r="139" spans="1:90" ht="15" customHeight="1" thickBot="1" x14ac:dyDescent="0.35">
      <c r="A139" s="945" t="s">
        <v>152</v>
      </c>
      <c r="B139" s="953">
        <v>0</v>
      </c>
      <c r="C139" s="953">
        <v>0</v>
      </c>
      <c r="D139" s="427"/>
      <c r="H139" s="336" t="s">
        <v>314</v>
      </c>
      <c r="I139" s="354">
        <v>1150.1928571428571</v>
      </c>
      <c r="J139" s="354">
        <v>869.0625</v>
      </c>
      <c r="K139" s="354">
        <v>986.98857142857139</v>
      </c>
      <c r="L139" s="354">
        <v>921.5</v>
      </c>
      <c r="M139" s="444">
        <f>I139*$M$5+J139*$M$6</f>
        <v>388333.79285714286</v>
      </c>
      <c r="N139" s="439">
        <f>K139*$J$5+L139*$J$6</f>
        <v>352719.64285714284</v>
      </c>
      <c r="O139" s="446">
        <f>N139/M139</f>
        <v>0.90828985101200943</v>
      </c>
      <c r="P139" s="2" t="s">
        <v>350</v>
      </c>
      <c r="BR139" s="320" t="s">
        <v>278</v>
      </c>
      <c r="BS139" s="320">
        <v>3.9470000000000001</v>
      </c>
      <c r="CH139" s="681" t="s">
        <v>545</v>
      </c>
      <c r="CI139" s="682" t="s">
        <v>413</v>
      </c>
      <c r="CJ139" s="683">
        <v>3253.54</v>
      </c>
      <c r="CK139" s="684">
        <f>CJ139*(1+$AN$98)*(1+$AO$98)</f>
        <v>3614.0842886400001</v>
      </c>
      <c r="CL139" s="685">
        <v>45.84</v>
      </c>
    </row>
    <row r="140" spans="1:90" ht="15" customHeight="1" thickBot="1" x14ac:dyDescent="0.35">
      <c r="A140" s="938" t="s">
        <v>153</v>
      </c>
      <c r="B140" s="953">
        <v>16</v>
      </c>
      <c r="C140" s="953">
        <v>16</v>
      </c>
      <c r="D140" s="427"/>
      <c r="H140" s="199"/>
      <c r="I140" s="199"/>
      <c r="J140" s="199"/>
      <c r="K140" s="199"/>
      <c r="L140" s="199"/>
      <c r="BR140" s="320" t="s">
        <v>279</v>
      </c>
      <c r="BS140" s="320">
        <v>1.1599999999999999</v>
      </c>
      <c r="CH140" s="686" t="s">
        <v>546</v>
      </c>
      <c r="CI140" s="687" t="s">
        <v>414</v>
      </c>
      <c r="CJ140" s="688">
        <v>7443.03</v>
      </c>
      <c r="CK140" s="689">
        <f>CJ140*(1+$AN$98)*(1+$AO$98)</f>
        <v>8267.8368124799999</v>
      </c>
      <c r="CL140" s="690">
        <v>47.78</v>
      </c>
    </row>
    <row r="141" spans="1:90" ht="15" customHeight="1" thickBot="1" x14ac:dyDescent="0.35">
      <c r="A141" s="1140" t="s">
        <v>315</v>
      </c>
      <c r="B141" s="1140"/>
      <c r="C141" s="1140"/>
      <c r="D141" s="425"/>
      <c r="E141" s="430"/>
      <c r="F141" s="430"/>
      <c r="G141" s="430"/>
      <c r="H141" s="199"/>
      <c r="I141" s="199"/>
      <c r="J141" s="199"/>
      <c r="K141" s="199"/>
      <c r="L141" s="199"/>
      <c r="BR141" s="321" t="s">
        <v>280</v>
      </c>
      <c r="BS141" s="321">
        <f>SUM(BS138:BS140)</f>
        <v>10.595000000000001</v>
      </c>
      <c r="CH141" s="671"/>
      <c r="CI141" s="671"/>
      <c r="CJ141" s="671"/>
      <c r="CK141" s="671"/>
      <c r="CL141" s="671"/>
    </row>
    <row r="142" spans="1:90" ht="27" thickBot="1" x14ac:dyDescent="0.35">
      <c r="A142" s="1076" t="s">
        <v>325</v>
      </c>
      <c r="B142" s="1076"/>
      <c r="C142" s="1076"/>
      <c r="D142" s="421"/>
      <c r="H142" s="352" t="s">
        <v>343</v>
      </c>
      <c r="I142" s="199"/>
      <c r="J142" s="199"/>
      <c r="K142" s="199"/>
      <c r="L142" s="199"/>
      <c r="AZ142" s="237" t="s">
        <v>296</v>
      </c>
      <c r="BA142" s="58"/>
      <c r="CH142" s="672" t="s">
        <v>4</v>
      </c>
      <c r="CI142" s="673" t="s">
        <v>66</v>
      </c>
      <c r="CJ142" s="674" t="s">
        <v>412</v>
      </c>
      <c r="CK142" s="674" t="s">
        <v>412</v>
      </c>
      <c r="CL142" s="675" t="s">
        <v>411</v>
      </c>
    </row>
    <row r="143" spans="1:90" s="12" customFormat="1" ht="15" thickBot="1" x14ac:dyDescent="0.35">
      <c r="A143" s="945" t="s">
        <v>149</v>
      </c>
      <c r="B143" s="946" t="s">
        <v>150</v>
      </c>
      <c r="C143" s="946" t="s">
        <v>151</v>
      </c>
      <c r="D143" s="211"/>
      <c r="H143" s="199"/>
      <c r="I143" s="199"/>
      <c r="J143" s="199"/>
      <c r="K143" s="199"/>
      <c r="L143" s="199"/>
      <c r="AZ143" s="345" t="s">
        <v>299</v>
      </c>
      <c r="BA143" s="58"/>
      <c r="BQ143" s="2"/>
      <c r="BR143" s="2"/>
      <c r="BS143" s="2"/>
      <c r="BT143" s="2"/>
      <c r="BU143" s="2"/>
      <c r="BV143" s="2"/>
      <c r="CH143" s="691" t="s">
        <v>547</v>
      </c>
      <c r="CI143" s="677" t="s">
        <v>413</v>
      </c>
      <c r="CJ143" s="678">
        <v>2490.59</v>
      </c>
      <c r="CK143" s="692"/>
      <c r="CL143" s="680">
        <v>247.21</v>
      </c>
    </row>
    <row r="144" spans="1:90" ht="15" thickBot="1" x14ac:dyDescent="0.35">
      <c r="A144" s="938" t="s">
        <v>216</v>
      </c>
      <c r="B144" s="953">
        <v>0</v>
      </c>
      <c r="C144" s="953">
        <v>0</v>
      </c>
      <c r="D144" s="427"/>
      <c r="H144" s="199"/>
      <c r="I144" s="1141" t="s">
        <v>337</v>
      </c>
      <c r="J144" s="1142"/>
      <c r="K144" s="1141" t="s">
        <v>338</v>
      </c>
      <c r="L144" s="1142"/>
      <c r="M144" s="1136" t="s">
        <v>345</v>
      </c>
      <c r="N144" s="1138" t="s">
        <v>346</v>
      </c>
      <c r="AZ144" s="237" t="s">
        <v>297</v>
      </c>
      <c r="BA144" s="58"/>
      <c r="CH144" s="693" t="s">
        <v>548</v>
      </c>
      <c r="CI144" s="687" t="s">
        <v>414</v>
      </c>
      <c r="CJ144" s="688">
        <v>3336.31</v>
      </c>
      <c r="CK144" s="694"/>
      <c r="CL144" s="695">
        <v>141</v>
      </c>
    </row>
    <row r="145" spans="1:186" s="560" customFormat="1" ht="20.100000000000001" customHeight="1" thickBot="1" x14ac:dyDescent="0.35">
      <c r="A145" s="954" t="s">
        <v>215</v>
      </c>
      <c r="B145" s="953">
        <v>0</v>
      </c>
      <c r="C145" s="953">
        <v>0</v>
      </c>
      <c r="D145" s="558"/>
      <c r="H145" s="569"/>
      <c r="I145" s="353" t="s">
        <v>305</v>
      </c>
      <c r="J145" s="353" t="s">
        <v>306</v>
      </c>
      <c r="K145" s="353" t="s">
        <v>305</v>
      </c>
      <c r="L145" s="353" t="s">
        <v>306</v>
      </c>
      <c r="M145" s="1137"/>
      <c r="N145" s="1138"/>
      <c r="AZ145" s="561" t="s">
        <v>300</v>
      </c>
      <c r="BA145" s="58"/>
      <c r="CN145" s="1117" t="s">
        <v>428</v>
      </c>
      <c r="CO145" s="1118"/>
      <c r="CP145" s="1073" t="s">
        <v>429</v>
      </c>
      <c r="CQ145" s="1073"/>
      <c r="CR145" s="1073"/>
      <c r="CS145" s="1073"/>
      <c r="CT145" s="1073"/>
      <c r="CU145" s="1073" t="s">
        <v>431</v>
      </c>
      <c r="DN145" s="765"/>
      <c r="FV145" s="738"/>
      <c r="FZ145" s="994"/>
      <c r="GA145" s="994"/>
      <c r="GB145" s="994"/>
      <c r="GC145" s="994"/>
      <c r="GD145" s="994"/>
    </row>
    <row r="146" spans="1:186" ht="25.5" customHeight="1" thickBot="1" x14ac:dyDescent="0.35">
      <c r="A146" s="945" t="s">
        <v>152</v>
      </c>
      <c r="B146" s="953">
        <v>1</v>
      </c>
      <c r="C146" s="953">
        <v>1</v>
      </c>
      <c r="D146" s="427"/>
      <c r="H146" s="336" t="s">
        <v>304</v>
      </c>
      <c r="I146" s="354">
        <v>4496.7321428571431</v>
      </c>
      <c r="J146" s="355">
        <v>1985.8125</v>
      </c>
      <c r="K146" s="354">
        <v>4244.6222222222223</v>
      </c>
      <c r="L146" s="355">
        <v>2105.5555555555557</v>
      </c>
      <c r="M146" s="444">
        <f>I146*$M$5+J146*$M$6</f>
        <v>1360084.2321428573</v>
      </c>
      <c r="N146" s="439">
        <f>K146*$J$5+L146*$J$6</f>
        <v>1303294.4444444445</v>
      </c>
      <c r="O146" s="446">
        <f>N146/M146</f>
        <v>0.95824538925141522</v>
      </c>
      <c r="P146" s="2" t="s">
        <v>304</v>
      </c>
      <c r="AZ146" s="237" t="s">
        <v>295</v>
      </c>
      <c r="BA146" s="58"/>
      <c r="CN146" s="1119"/>
      <c r="CO146" s="1120"/>
      <c r="CP146" s="557" t="s">
        <v>423</v>
      </c>
      <c r="CQ146" s="557" t="s">
        <v>424</v>
      </c>
      <c r="CR146" s="557" t="s">
        <v>425</v>
      </c>
      <c r="CS146" s="557" t="s">
        <v>426</v>
      </c>
      <c r="CT146" s="557" t="s">
        <v>427</v>
      </c>
      <c r="CU146" s="1073"/>
    </row>
    <row r="147" spans="1:186" ht="25.5" customHeight="1" thickBot="1" x14ac:dyDescent="0.35">
      <c r="A147" s="938" t="s">
        <v>153</v>
      </c>
      <c r="B147" s="953">
        <f>(10+12)/2</f>
        <v>11</v>
      </c>
      <c r="C147" s="953">
        <f>(10+13)/2</f>
        <v>11.5</v>
      </c>
      <c r="D147" s="427"/>
      <c r="H147" s="336" t="s">
        <v>309</v>
      </c>
      <c r="I147" s="354">
        <v>1149.8928571428573</v>
      </c>
      <c r="J147" s="354">
        <v>711.3125</v>
      </c>
      <c r="K147" s="354">
        <v>986.21714285714279</v>
      </c>
      <c r="L147" s="354">
        <v>791.85714285714289</v>
      </c>
      <c r="M147" s="444">
        <f>I147*$M$5+J147*$M$6</f>
        <v>370589.8928571429</v>
      </c>
      <c r="N147" s="439">
        <f>K147*$J$5+L147*$J$6</f>
        <v>337617.85714285716</v>
      </c>
      <c r="O147" s="446">
        <f>N147/M147</f>
        <v>0.91102823808798261</v>
      </c>
      <c r="P147" s="2" t="s">
        <v>309</v>
      </c>
      <c r="AZ147" s="236" t="s">
        <v>301</v>
      </c>
      <c r="BA147" s="58"/>
      <c r="BQ147" s="12"/>
      <c r="BR147" s="12"/>
      <c r="BS147" s="12"/>
      <c r="BT147" s="12"/>
      <c r="BU147" s="12"/>
      <c r="BV147" s="12"/>
      <c r="CN147" s="570" t="s">
        <v>605</v>
      </c>
      <c r="CO147" s="744" t="s">
        <v>606</v>
      </c>
      <c r="CP147" s="568">
        <f>'[7]6 Externality'!E235</f>
        <v>556</v>
      </c>
      <c r="CQ147" s="568">
        <f>'[7]6 Externality'!F235</f>
        <v>5.0199999999999996</v>
      </c>
      <c r="CR147" s="568">
        <f>'[7]6 Externality'!G235</f>
        <v>5.3999999999999999E-2</v>
      </c>
      <c r="CS147" s="568">
        <f>'[7]6 Externality'!H235</f>
        <v>0.10299999999999999</v>
      </c>
      <c r="CT147" s="568">
        <f>'[7]6 Externality'!I235</f>
        <v>0.99</v>
      </c>
      <c r="CU147" s="557" t="s">
        <v>432</v>
      </c>
    </row>
    <row r="148" spans="1:186" ht="26.4" x14ac:dyDescent="0.3">
      <c r="A148" s="211"/>
      <c r="B148" s="736"/>
      <c r="C148" s="736"/>
      <c r="D148" s="736"/>
      <c r="E148" s="735"/>
      <c r="F148" s="735"/>
      <c r="G148" s="735"/>
      <c r="H148" s="200"/>
      <c r="I148" s="437"/>
      <c r="J148" s="437"/>
      <c r="K148" s="437"/>
      <c r="L148" s="437"/>
      <c r="M148" s="740"/>
      <c r="N148" s="740"/>
      <c r="O148" s="446"/>
      <c r="AZ148" s="58"/>
      <c r="BA148" s="58"/>
      <c r="BQ148" s="12"/>
      <c r="BR148" s="12"/>
      <c r="BS148" s="12"/>
      <c r="BT148" s="12"/>
      <c r="BU148" s="12"/>
      <c r="BV148" s="12"/>
      <c r="CN148" s="1075" t="s">
        <v>607</v>
      </c>
      <c r="CO148" s="743" t="s">
        <v>603</v>
      </c>
      <c r="CP148" s="568">
        <f>'[7]6 Externality'!E237</f>
        <v>1658.71</v>
      </c>
      <c r="CQ148" s="568">
        <f>'[7]6 Externality'!F237</f>
        <v>0.64780000000000004</v>
      </c>
      <c r="CR148" s="568">
        <f>'[7]6 Externality'!G237</f>
        <v>5.1999999999999998E-3</v>
      </c>
      <c r="CS148" s="568">
        <f>'[7]6 Externality'!H237</f>
        <v>1.0755999999999999</v>
      </c>
      <c r="CT148" s="568">
        <f>'[7]6 Externality'!I237</f>
        <v>6.3414000000000001</v>
      </c>
      <c r="CU148" s="732" t="s">
        <v>602</v>
      </c>
    </row>
    <row r="149" spans="1:186" ht="26.4" x14ac:dyDescent="0.3">
      <c r="A149" s="211"/>
      <c r="B149" s="736"/>
      <c r="C149" s="736"/>
      <c r="D149" s="736"/>
      <c r="E149" s="735"/>
      <c r="F149" s="735"/>
      <c r="G149" s="735"/>
      <c r="H149" s="200"/>
      <c r="I149" s="437"/>
      <c r="J149" s="437"/>
      <c r="K149" s="437"/>
      <c r="L149" s="437"/>
      <c r="M149" s="740"/>
      <c r="N149" s="740"/>
      <c r="O149" s="446"/>
      <c r="AZ149" s="58"/>
      <c r="BA149" s="58"/>
      <c r="BQ149" s="12"/>
      <c r="BR149" s="12"/>
      <c r="BS149" s="12"/>
      <c r="BT149" s="12"/>
      <c r="BU149" s="12"/>
      <c r="BV149" s="12"/>
      <c r="CN149" s="1073"/>
      <c r="CO149" s="743" t="s">
        <v>604</v>
      </c>
      <c r="CP149" s="568">
        <f>'[7]6 Externality'!E238</f>
        <v>77.790000000000006</v>
      </c>
      <c r="CQ149" s="568">
        <f>'[7]6 Externality'!F238</f>
        <v>3.04E-2</v>
      </c>
      <c r="CR149" s="568">
        <f>'[7]6 Externality'!G238</f>
        <v>2.0000000000000001E-4</v>
      </c>
      <c r="CS149" s="568">
        <f>'[7]6 Externality'!H238</f>
        <v>5.04E-2</v>
      </c>
      <c r="CT149" s="568">
        <f>'[7]6 Externality'!I238</f>
        <v>0.2974</v>
      </c>
      <c r="CU149" s="732" t="s">
        <v>602</v>
      </c>
    </row>
    <row r="150" spans="1:186" ht="26.4" x14ac:dyDescent="0.3">
      <c r="A150" s="211"/>
      <c r="B150" s="736"/>
      <c r="C150" s="736"/>
      <c r="D150" s="736"/>
      <c r="E150" s="735"/>
      <c r="F150" s="735"/>
      <c r="G150" s="735"/>
      <c r="H150" s="200"/>
      <c r="I150" s="437"/>
      <c r="J150" s="437"/>
      <c r="K150" s="437"/>
      <c r="L150" s="437"/>
      <c r="M150" s="740"/>
      <c r="N150" s="740"/>
      <c r="O150" s="446"/>
      <c r="AZ150" s="58"/>
      <c r="BA150" s="58"/>
      <c r="BQ150" s="12"/>
      <c r="BR150" s="12"/>
      <c r="BS150" s="12"/>
      <c r="BT150" s="12"/>
      <c r="BU150" s="12"/>
      <c r="BV150" s="12"/>
      <c r="CN150" s="450" t="s">
        <v>608</v>
      </c>
      <c r="CO150" s="743" t="s">
        <v>604</v>
      </c>
      <c r="CP150" s="568">
        <f>'[7]6 Externality'!E244</f>
        <v>523.19000000000005</v>
      </c>
      <c r="CQ150" s="568">
        <f>'[7]6 Externality'!F244</f>
        <v>0.2041</v>
      </c>
      <c r="CR150" s="568">
        <f>'[7]6 Externality'!G244</f>
        <v>1.6000000000000001E-3</v>
      </c>
      <c r="CS150" s="568">
        <f>'[7]6 Externality'!H244</f>
        <v>0.33889999999999998</v>
      </c>
      <c r="CT150" s="568">
        <f>'[7]6 Externality'!I244</f>
        <v>4.3494999999999999</v>
      </c>
      <c r="CU150" s="732" t="s">
        <v>602</v>
      </c>
    </row>
    <row r="151" spans="1:186" ht="14.4" x14ac:dyDescent="0.3">
      <c r="A151" s="211"/>
      <c r="B151" s="736"/>
      <c r="C151" s="736"/>
      <c r="D151" s="736"/>
      <c r="E151" s="735"/>
      <c r="F151" s="735"/>
      <c r="G151" s="735"/>
      <c r="H151" s="200"/>
      <c r="I151" s="437"/>
      <c r="J151" s="437"/>
      <c r="K151" s="437"/>
      <c r="L151" s="437"/>
      <c r="M151" s="740"/>
      <c r="N151" s="740"/>
      <c r="O151" s="446"/>
      <c r="AZ151" s="58"/>
      <c r="BA151" s="58"/>
      <c r="BQ151" s="12"/>
      <c r="BR151" s="12"/>
      <c r="BS151" s="12"/>
      <c r="BT151" s="12"/>
      <c r="BU151" s="12"/>
      <c r="BV151" s="12"/>
      <c r="CN151" s="745"/>
      <c r="CO151" s="742"/>
      <c r="CP151" s="741"/>
      <c r="CQ151" s="741"/>
      <c r="CR151" s="741"/>
      <c r="CS151" s="741"/>
      <c r="CT151" s="741"/>
      <c r="CU151" s="734"/>
    </row>
    <row r="152" spans="1:186" ht="15" thickBot="1" x14ac:dyDescent="0.35">
      <c r="A152" s="211"/>
      <c r="B152" s="736"/>
      <c r="C152" s="736"/>
      <c r="D152" s="736"/>
      <c r="E152" s="735"/>
      <c r="F152" s="735"/>
      <c r="G152" s="735"/>
      <c r="H152" s="200"/>
      <c r="I152" s="437"/>
      <c r="J152" s="437"/>
      <c r="K152" s="437"/>
      <c r="L152" s="437"/>
      <c r="M152" s="740"/>
      <c r="N152" s="740"/>
      <c r="O152" s="446"/>
      <c r="AZ152" s="58"/>
      <c r="BA152" s="58"/>
      <c r="BQ152" s="12"/>
      <c r="BR152" s="12"/>
      <c r="BS152" s="12"/>
      <c r="BT152" s="12"/>
      <c r="BU152" s="12"/>
      <c r="BV152" s="12"/>
      <c r="CN152" s="734"/>
      <c r="CO152" s="742"/>
      <c r="CP152" s="741"/>
      <c r="CQ152" s="741"/>
      <c r="CR152" s="741"/>
      <c r="CS152" s="741"/>
      <c r="CT152" s="741"/>
      <c r="CU152" s="734"/>
    </row>
    <row r="153" spans="1:186" ht="15" customHeight="1" x14ac:dyDescent="0.25">
      <c r="A153" s="1140" t="s">
        <v>315</v>
      </c>
      <c r="B153" s="1140"/>
      <c r="C153" s="1140"/>
      <c r="D153" s="425"/>
      <c r="DH153" s="1006">
        <f>DJ153*1000000</f>
        <v>1517097.7779091762</v>
      </c>
      <c r="DJ153" s="2">
        <v>1.5170977779091761</v>
      </c>
    </row>
    <row r="154" spans="1:186" ht="15" customHeight="1" thickBot="1" x14ac:dyDescent="0.3">
      <c r="A154" s="1076" t="s">
        <v>326</v>
      </c>
      <c r="B154" s="1076"/>
      <c r="C154" s="1076"/>
      <c r="D154" s="421"/>
      <c r="CN154" s="1073" t="s">
        <v>430</v>
      </c>
      <c r="CO154" s="1115" t="s">
        <v>82</v>
      </c>
      <c r="CP154" s="1073" t="s">
        <v>434</v>
      </c>
      <c r="CQ154" s="1073"/>
      <c r="CR154" s="1073"/>
      <c r="CS154" s="1073"/>
      <c r="CT154" s="1073"/>
      <c r="CU154" s="1073" t="s">
        <v>431</v>
      </c>
      <c r="DH154" s="2">
        <v>1517097.7779091799</v>
      </c>
    </row>
    <row r="155" spans="1:186" ht="15" customHeight="1" thickBot="1" x14ac:dyDescent="0.3">
      <c r="A155" s="955"/>
      <c r="B155" s="955"/>
      <c r="C155" s="955"/>
      <c r="D155" s="559"/>
      <c r="E155" s="560"/>
      <c r="F155" s="560"/>
      <c r="G155" s="560"/>
      <c r="H155" s="560"/>
      <c r="I155" s="560"/>
      <c r="CN155" s="1073"/>
      <c r="CO155" s="1116"/>
      <c r="CP155" s="557" t="s">
        <v>423</v>
      </c>
      <c r="CQ155" s="557" t="s">
        <v>424</v>
      </c>
      <c r="CR155" s="557" t="s">
        <v>425</v>
      </c>
      <c r="CS155" s="557" t="s">
        <v>426</v>
      </c>
      <c r="CT155" s="557" t="s">
        <v>427</v>
      </c>
      <c r="CU155" s="1073"/>
      <c r="DH155" s="1006"/>
    </row>
    <row r="156" spans="1:186" ht="15" customHeight="1" thickBot="1" x14ac:dyDescent="0.35">
      <c r="A156" s="955"/>
      <c r="B156" s="955"/>
      <c r="C156" s="955"/>
      <c r="D156" s="559"/>
      <c r="E156" s="560"/>
      <c r="F156" s="560"/>
      <c r="G156" s="560"/>
      <c r="H156" s="352" t="s">
        <v>601</v>
      </c>
      <c r="I156" s="199"/>
      <c r="J156" s="199"/>
      <c r="CN156" s="1075" t="s">
        <v>433</v>
      </c>
      <c r="CO156" s="557">
        <v>2017</v>
      </c>
      <c r="CP156" s="571">
        <f>'[7]6 Externality'!$D$220</f>
        <v>2877</v>
      </c>
      <c r="CQ156" s="571">
        <f>'[7]6 Externality'!$E$220</f>
        <v>504724</v>
      </c>
      <c r="CR156" s="571">
        <f>'[7]6 Externality'!$F$220</f>
        <v>451145</v>
      </c>
      <c r="CS156" s="571">
        <f>'[7]6 Externality'!$H$221</f>
        <v>2187533</v>
      </c>
      <c r="CT156" s="571">
        <f>'[7]6 Externality'!$I$221</f>
        <v>875725</v>
      </c>
      <c r="CU156" s="1083" t="s">
        <v>435</v>
      </c>
      <c r="DC156" s="2" t="s">
        <v>458</v>
      </c>
      <c r="DP156" s="1072">
        <v>250</v>
      </c>
      <c r="DQ156" s="1072"/>
      <c r="DR156" s="1072">
        <v>251</v>
      </c>
      <c r="DS156" s="1072"/>
    </row>
    <row r="157" spans="1:186" ht="15" customHeight="1" thickBot="1" x14ac:dyDescent="0.35">
      <c r="A157" s="945" t="s">
        <v>149</v>
      </c>
      <c r="B157" s="946" t="s">
        <v>150</v>
      </c>
      <c r="C157" s="946" t="s">
        <v>151</v>
      </c>
      <c r="D157" s="211"/>
      <c r="H157" s="352"/>
      <c r="I157" s="199"/>
      <c r="J157" s="199"/>
      <c r="CN157" s="1075"/>
      <c r="CO157" s="557">
        <v>2020</v>
      </c>
      <c r="CP157" s="571">
        <f>'[7]6 Externality'!$D$224</f>
        <v>2996.0763103641716</v>
      </c>
      <c r="CQ157" s="571">
        <f>'[7]6 Externality'!$E$224</f>
        <v>525424.62473556411</v>
      </c>
      <c r="CR157" s="571">
        <f>'[7]6 Externality'!$F$224</f>
        <v>469648.26421916421</v>
      </c>
      <c r="CS157" s="571">
        <f>'[7]6 Externality'!$H$225</f>
        <v>2277248.3143199645</v>
      </c>
      <c r="CT157" s="571">
        <f>'[7]6 Externality'!$I$225</f>
        <v>911640.96934716415</v>
      </c>
      <c r="CU157" s="1085"/>
      <c r="DC157" s="2" t="s">
        <v>453</v>
      </c>
      <c r="DF157" s="574">
        <v>2027</v>
      </c>
      <c r="DG157" s="2" t="s">
        <v>909</v>
      </c>
      <c r="DI157" s="2" t="s">
        <v>455</v>
      </c>
      <c r="DP157" s="764" t="s">
        <v>566</v>
      </c>
      <c r="DQ157" s="764" t="s">
        <v>619</v>
      </c>
      <c r="DR157" s="764" t="s">
        <v>566</v>
      </c>
      <c r="DS157" s="764" t="s">
        <v>619</v>
      </c>
      <c r="DT157" s="2" t="s">
        <v>621</v>
      </c>
    </row>
    <row r="158" spans="1:186" s="564" customFormat="1" ht="15" customHeight="1" thickBot="1" x14ac:dyDescent="0.35">
      <c r="A158" s="954" t="s">
        <v>216</v>
      </c>
      <c r="B158" s="953">
        <v>0</v>
      </c>
      <c r="C158" s="953">
        <v>0</v>
      </c>
      <c r="D158" s="566"/>
      <c r="H158" s="352" t="s">
        <v>304</v>
      </c>
      <c r="I158" s="199"/>
      <c r="J158" s="199"/>
      <c r="K158" s="564" t="s">
        <v>619</v>
      </c>
      <c r="L158" s="564" t="s">
        <v>620</v>
      </c>
      <c r="M158" s="860" t="s">
        <v>628</v>
      </c>
      <c r="CW158" s="1086" t="s">
        <v>436</v>
      </c>
      <c r="CX158" s="1073" t="s">
        <v>445</v>
      </c>
      <c r="CY158" s="1073"/>
      <c r="CZ158" s="1073"/>
      <c r="DA158" s="1075" t="s">
        <v>451</v>
      </c>
      <c r="DC158" s="1073" t="s">
        <v>452</v>
      </c>
      <c r="DD158" s="1073"/>
      <c r="DE158" s="1073"/>
      <c r="DF158" s="1075" t="s">
        <v>454</v>
      </c>
      <c r="DH158" s="1073" t="s">
        <v>456</v>
      </c>
      <c r="DI158" s="1073"/>
      <c r="DJ158" s="1073"/>
      <c r="DK158" s="1075" t="s">
        <v>457</v>
      </c>
      <c r="DN158" s="765"/>
      <c r="DO158" s="564">
        <v>2027</v>
      </c>
      <c r="DP158" s="564" t="s">
        <v>122</v>
      </c>
      <c r="DQ158" s="564" t="s">
        <v>122</v>
      </c>
      <c r="DR158" s="764" t="s">
        <v>122</v>
      </c>
      <c r="DS158" s="764" t="s">
        <v>122</v>
      </c>
      <c r="DT158" s="764" t="s">
        <v>122</v>
      </c>
      <c r="FV158" s="738"/>
      <c r="FZ158" s="994"/>
      <c r="GA158" s="994"/>
      <c r="GB158" s="994"/>
      <c r="GC158" s="994"/>
      <c r="GD158" s="994"/>
    </row>
    <row r="159" spans="1:186" s="564" customFormat="1" ht="15" customHeight="1" thickBot="1" x14ac:dyDescent="0.35">
      <c r="A159" s="954" t="s">
        <v>215</v>
      </c>
      <c r="B159" s="953">
        <v>0</v>
      </c>
      <c r="C159" s="953">
        <v>0</v>
      </c>
      <c r="D159" s="566"/>
      <c r="H159" s="35" t="s">
        <v>575</v>
      </c>
      <c r="I159" s="353" t="s">
        <v>305</v>
      </c>
      <c r="J159" s="353" t="s">
        <v>306</v>
      </c>
      <c r="K159" s="728">
        <v>2016</v>
      </c>
      <c r="M159" s="867" t="s">
        <v>629</v>
      </c>
      <c r="N159" s="862"/>
      <c r="O159" s="862"/>
      <c r="CW159" s="1086"/>
      <c r="CX159" s="567" t="s">
        <v>442</v>
      </c>
      <c r="CY159" s="567" t="s">
        <v>443</v>
      </c>
      <c r="CZ159" s="567" t="s">
        <v>444</v>
      </c>
      <c r="DA159" s="1075"/>
      <c r="DC159" s="567" t="s">
        <v>442</v>
      </c>
      <c r="DD159" s="567" t="s">
        <v>443</v>
      </c>
      <c r="DE159" s="567" t="s">
        <v>444</v>
      </c>
      <c r="DF159" s="1075"/>
      <c r="DH159" s="567" t="s">
        <v>442</v>
      </c>
      <c r="DI159" s="567" t="s">
        <v>443</v>
      </c>
      <c r="DJ159" s="567" t="s">
        <v>444</v>
      </c>
      <c r="DK159" s="1075"/>
      <c r="DN159" s="765"/>
      <c r="DO159" s="564">
        <v>2028</v>
      </c>
      <c r="DP159" s="764" t="s">
        <v>122</v>
      </c>
      <c r="DQ159" s="564">
        <v>5</v>
      </c>
      <c r="DR159" s="764" t="s">
        <v>122</v>
      </c>
      <c r="DS159" s="764" t="s">
        <v>122</v>
      </c>
      <c r="DT159" s="764" t="s">
        <v>122</v>
      </c>
      <c r="FV159" s="738"/>
      <c r="FZ159" s="994"/>
      <c r="GA159" s="994"/>
      <c r="GB159" s="994"/>
      <c r="GC159" s="994"/>
      <c r="GD159" s="994"/>
    </row>
    <row r="160" spans="1:186" s="564" customFormat="1" ht="15" customHeight="1" thickBot="1" x14ac:dyDescent="0.35">
      <c r="A160" s="956" t="s">
        <v>152</v>
      </c>
      <c r="B160" s="953">
        <v>1</v>
      </c>
      <c r="C160" s="953">
        <v>1</v>
      </c>
      <c r="D160" s="566"/>
      <c r="H160" s="336" t="s">
        <v>237</v>
      </c>
      <c r="I160" s="354">
        <v>110.47777777777779</v>
      </c>
      <c r="J160" s="355">
        <v>69.777777777777771</v>
      </c>
      <c r="M160" s="286">
        <f>(I160*$P$5+J160*$P$6)</f>
        <v>35725.288888888892</v>
      </c>
      <c r="U160" s="464">
        <f>U123</f>
        <v>2017</v>
      </c>
      <c r="V160" s="567">
        <f>U160+1</f>
        <v>2018</v>
      </c>
      <c r="W160" s="567">
        <f>V160+1</f>
        <v>2019</v>
      </c>
      <c r="X160" s="567">
        <f>W160+1</f>
        <v>2020</v>
      </c>
      <c r="Y160" s="567">
        <f>X160+1</f>
        <v>2021</v>
      </c>
      <c r="Z160" s="464">
        <f>V123</f>
        <v>2022</v>
      </c>
      <c r="AA160" s="567">
        <f>Z160+1</f>
        <v>2023</v>
      </c>
      <c r="AB160" s="567">
        <f>AA160+1</f>
        <v>2024</v>
      </c>
      <c r="AC160" s="567">
        <f>AB160+1</f>
        <v>2025</v>
      </c>
      <c r="AD160" s="567">
        <f>AC160+1</f>
        <v>2026</v>
      </c>
      <c r="AE160" s="464">
        <f>W123</f>
        <v>2027</v>
      </c>
      <c r="AF160" s="567">
        <f>AE160+1</f>
        <v>2028</v>
      </c>
      <c r="AG160" s="567">
        <f>AF160+1</f>
        <v>2029</v>
      </c>
      <c r="AH160" s="567">
        <f>AG160+1</f>
        <v>2030</v>
      </c>
      <c r="AI160" s="567">
        <f>AH160+1</f>
        <v>2031</v>
      </c>
      <c r="AJ160" s="464">
        <f>X123</f>
        <v>2032</v>
      </c>
      <c r="AK160" s="567">
        <f>AJ160+1</f>
        <v>2033</v>
      </c>
      <c r="AL160" s="567">
        <f>AK160+1</f>
        <v>2034</v>
      </c>
      <c r="AM160" s="567">
        <f>AL160+1</f>
        <v>2035</v>
      </c>
      <c r="AN160" s="567">
        <f>AM160+1</f>
        <v>2036</v>
      </c>
      <c r="AO160" s="464">
        <f>Y123</f>
        <v>2037</v>
      </c>
      <c r="AP160" s="567">
        <f>AO160+1</f>
        <v>2038</v>
      </c>
      <c r="AQ160" s="567">
        <f>AP160+1</f>
        <v>2039</v>
      </c>
      <c r="AR160" s="567">
        <f>AQ160+1</f>
        <v>2040</v>
      </c>
      <c r="AS160" s="567">
        <f>AR160+1</f>
        <v>2041</v>
      </c>
      <c r="AT160" s="464">
        <f>Z123</f>
        <v>2042</v>
      </c>
      <c r="AU160" s="567">
        <f>AT160+1</f>
        <v>2043</v>
      </c>
      <c r="AV160" s="567">
        <f>AU160+1</f>
        <v>2044</v>
      </c>
      <c r="AW160" s="567">
        <f>AV160+1</f>
        <v>2045</v>
      </c>
      <c r="AX160" s="567">
        <f>AW160+1</f>
        <v>2046</v>
      </c>
      <c r="AY160" s="464">
        <f>AA123</f>
        <v>2047</v>
      </c>
      <c r="AZ160" s="567">
        <f>AY160+1</f>
        <v>2048</v>
      </c>
      <c r="BA160" s="567"/>
      <c r="BB160" s="567">
        <f>AZ160+1</f>
        <v>2049</v>
      </c>
      <c r="BC160" s="567">
        <f>BB160+1</f>
        <v>2050</v>
      </c>
      <c r="BD160" s="567">
        <f>BC160+1</f>
        <v>2051</v>
      </c>
      <c r="BE160" s="464">
        <f>AB123</f>
        <v>2052</v>
      </c>
      <c r="BF160" s="988">
        <f>BE160+1</f>
        <v>2053</v>
      </c>
      <c r="BG160" s="988">
        <f>BF160+1</f>
        <v>2054</v>
      </c>
      <c r="BH160" s="988">
        <f>BG160+1</f>
        <v>2055</v>
      </c>
      <c r="BI160" s="988">
        <f>BH160+1</f>
        <v>2056</v>
      </c>
      <c r="BJ160" s="464">
        <f>AC123</f>
        <v>2057</v>
      </c>
      <c r="CW160" s="572" t="s">
        <v>446</v>
      </c>
      <c r="CX160" s="573">
        <v>0.1</v>
      </c>
      <c r="CY160" s="573">
        <v>0.2</v>
      </c>
      <c r="CZ160" s="573">
        <v>0.15</v>
      </c>
      <c r="DA160" s="567">
        <v>27</v>
      </c>
      <c r="DC160" s="1028">
        <f>$DF$157+DA160/4</f>
        <v>2033.75</v>
      </c>
      <c r="DD160" s="1028">
        <f>$DF$157+DA160/2</f>
        <v>2040.5</v>
      </c>
      <c r="DE160" s="1028">
        <f>$DF$157+DA160/4*3</f>
        <v>2047.25</v>
      </c>
      <c r="DF160" s="1026">
        <f>$DF$157+DA160-1</f>
        <v>2053</v>
      </c>
      <c r="DH160" s="1013">
        <f>CX160*DK160</f>
        <v>38539199.20328971</v>
      </c>
      <c r="DI160" s="1013">
        <f>CY160*DK160</f>
        <v>77078398.40657942</v>
      </c>
      <c r="DJ160" s="1013">
        <f>CZ160*DK160</f>
        <v>57808798.804934554</v>
      </c>
      <c r="DK160" s="1014">
        <f>382637946.432114+2754045.60078304</f>
        <v>385391992.03289706</v>
      </c>
      <c r="DM160" s="564" t="s">
        <v>523</v>
      </c>
      <c r="DN160" s="577">
        <f>SUM(DH160:DK160)</f>
        <v>558818388.44770074</v>
      </c>
      <c r="DO160" s="564">
        <v>2029</v>
      </c>
      <c r="DP160" s="25">
        <v>10</v>
      </c>
      <c r="DQ160" s="25">
        <v>150</v>
      </c>
      <c r="DR160" s="25">
        <v>10</v>
      </c>
      <c r="DS160" s="25">
        <v>90</v>
      </c>
      <c r="DT160" s="564">
        <v>10</v>
      </c>
      <c r="FV160" s="738"/>
      <c r="FZ160" s="994"/>
      <c r="GA160" s="994"/>
      <c r="GB160" s="994"/>
      <c r="GC160" s="994"/>
      <c r="GD160" s="994"/>
    </row>
    <row r="161" spans="1:186" s="564" customFormat="1" ht="15" customHeight="1" thickBot="1" x14ac:dyDescent="0.35">
      <c r="A161" s="954" t="s">
        <v>153</v>
      </c>
      <c r="B161" s="953">
        <f>(9+11)/2</f>
        <v>10</v>
      </c>
      <c r="C161" s="953">
        <f>(9+10)/2</f>
        <v>9.5</v>
      </c>
      <c r="D161" s="566"/>
      <c r="H161" s="336" t="s">
        <v>576</v>
      </c>
      <c r="I161" s="354">
        <v>5.4111111111111114</v>
      </c>
      <c r="J161" s="354">
        <v>5.9444444444444446</v>
      </c>
      <c r="K161" s="730">
        <f>I161*$P$5+J161*$P$6</f>
        <v>2035.3222222222225</v>
      </c>
      <c r="L161" s="730"/>
      <c r="M161" s="286">
        <f t="shared" ref="M161:M163" si="23">(I161*$P$5+J161*$P$6)</f>
        <v>2035.3222222222225</v>
      </c>
      <c r="P161" s="746"/>
      <c r="R161" s="863"/>
      <c r="S161" s="864"/>
      <c r="T161" s="570" t="str">
        <f>Q125</f>
        <v>0,85-0,95</v>
      </c>
      <c r="U161" s="463">
        <f>U125</f>
        <v>1</v>
      </c>
      <c r="V161" s="567">
        <f>$U$161-(($U$161-$Z$161)/5)</f>
        <v>0.98199999999999998</v>
      </c>
      <c r="W161" s="567">
        <f>$U$161-(($U$161-$Z$161)/5*2)</f>
        <v>0.96399999999999997</v>
      </c>
      <c r="X161" s="567">
        <f>$U$161-(($U$161-$Z$161)/5*3)</f>
        <v>0.94600000000000006</v>
      </c>
      <c r="Y161" s="567">
        <f>$U$161-(($U$161-$Z$161)/5*4)</f>
        <v>0.92800000000000005</v>
      </c>
      <c r="Z161" s="463">
        <f>V125</f>
        <v>0.91</v>
      </c>
      <c r="AA161" s="567">
        <f>$Z$161-(($Z$161-$AE$161)/5)</f>
        <v>0.90200000000000002</v>
      </c>
      <c r="AB161" s="567">
        <f>$Z$161-(($Z$161-$AE$161)/5*2)</f>
        <v>0.89400000000000002</v>
      </c>
      <c r="AC161" s="567">
        <f>$Z$161-(($Z$161-$AE$161)/5*3)</f>
        <v>0.88600000000000001</v>
      </c>
      <c r="AD161" s="567">
        <f>$Z$161-(($Z$161-$AE$161)/5*4)</f>
        <v>0.878</v>
      </c>
      <c r="AE161" s="463">
        <f>W125</f>
        <v>0.87</v>
      </c>
      <c r="AF161" s="567">
        <f>$AE$161-(($AE$161-$AJ$161)/5)</f>
        <v>0.86399999999999999</v>
      </c>
      <c r="AG161" s="567">
        <f>$AE$161-(($AE$161-$AJ$161)/5*2)</f>
        <v>0.85799999999999998</v>
      </c>
      <c r="AH161" s="567">
        <f>$AE$161-(($AE$161-$AJ$161)/5*3)</f>
        <v>0.85199999999999998</v>
      </c>
      <c r="AI161" s="567">
        <f>$AE$161-(($AE$161-$AJ$161)/5*4)</f>
        <v>0.84599999999999997</v>
      </c>
      <c r="AJ161" s="463">
        <f>X125</f>
        <v>0.84</v>
      </c>
      <c r="AK161" s="567">
        <f>$AJ$161-(($AJ$161-$AO$161)/5)</f>
        <v>0.83799999999999997</v>
      </c>
      <c r="AL161" s="567">
        <f>$AJ$161-(($AJ$161-$AO$161)/5*2)</f>
        <v>0.83599999999999997</v>
      </c>
      <c r="AM161" s="567">
        <f>$AJ$161-(($AJ$161-$AO$161)/5*3)</f>
        <v>0.83399999999999996</v>
      </c>
      <c r="AN161" s="567">
        <f>$AJ$161-(($AJ$161-$AO$161)/5*4)</f>
        <v>0.83199999999999996</v>
      </c>
      <c r="AO161" s="463">
        <f>Y125</f>
        <v>0.83</v>
      </c>
      <c r="AP161" s="567">
        <f>$AO$161-(($AO$161-$AT$161)/5)</f>
        <v>0.82599999999999996</v>
      </c>
      <c r="AQ161" s="567">
        <f>$AO$161-(($AO$161-$AT$161)/5*2)</f>
        <v>0.82199999999999995</v>
      </c>
      <c r="AR161" s="567">
        <f>$AO$161-(($AO$161-$AT$161)/5*3)</f>
        <v>0.81800000000000006</v>
      </c>
      <c r="AS161" s="567">
        <f>$AO$161-(($AO$161-$AT$161)/5*4)</f>
        <v>0.81400000000000006</v>
      </c>
      <c r="AT161" s="463">
        <f>Z125</f>
        <v>0.81</v>
      </c>
      <c r="AU161" s="567">
        <f>$AT$161-(($AT$161-$AY$161)/5)</f>
        <v>0.80800000000000005</v>
      </c>
      <c r="AV161" s="567">
        <f>$AT$161-(($AT$161-$AY$161)/5*2)</f>
        <v>0.80600000000000005</v>
      </c>
      <c r="AW161" s="567">
        <f>$AT$161-(($AT$161-$AY$161)/5*3)</f>
        <v>0.80400000000000005</v>
      </c>
      <c r="AX161" s="567">
        <f>$AT$161-(($AT$161-$AY$161)/5*4)</f>
        <v>0.80200000000000005</v>
      </c>
      <c r="AY161" s="463">
        <f>AA125</f>
        <v>0.8</v>
      </c>
      <c r="AZ161" s="567">
        <f>$AY$161-(($AY$161-$BE$161)/5)</f>
        <v>0.79800000000000004</v>
      </c>
      <c r="BA161" s="567"/>
      <c r="BB161" s="567">
        <f>$AY$161-(($AY$161-$BE$161)/5*2)</f>
        <v>0.79600000000000004</v>
      </c>
      <c r="BC161" s="567">
        <f>$AY$161-(($AY$161-$BE$161)/5*3)</f>
        <v>0.79400000000000004</v>
      </c>
      <c r="BD161" s="567">
        <f>$AY$161-(($AY$161-$BE$161)/5*4)</f>
        <v>0.79200000000000004</v>
      </c>
      <c r="BE161" s="463">
        <f>AB125</f>
        <v>0.79</v>
      </c>
      <c r="BF161" s="988">
        <f>$BE$161-(($BE$161-$BJ$161)/5)</f>
        <v>0.78800000000000003</v>
      </c>
      <c r="BG161" s="988">
        <f>$BE$161-(($BE$161-$BJ$161)/5*2)</f>
        <v>0.78600000000000003</v>
      </c>
      <c r="BH161" s="988">
        <f>$BE$161-(($BE$161-$BJ$161)/5*3)</f>
        <v>0.78400000000000003</v>
      </c>
      <c r="BI161" s="988">
        <f>$BE$161-(($BE$161-$BJ$161)/5*4)</f>
        <v>0.78200000000000003</v>
      </c>
      <c r="BJ161" s="463">
        <f>AC125</f>
        <v>0.78</v>
      </c>
      <c r="CW161" s="572" t="s">
        <v>447</v>
      </c>
      <c r="CX161" s="573">
        <v>0.05</v>
      </c>
      <c r="CY161" s="573">
        <v>0.05</v>
      </c>
      <c r="CZ161" s="573">
        <v>0.05</v>
      </c>
      <c r="DA161" s="567">
        <v>54</v>
      </c>
      <c r="DC161" s="1028">
        <f>$DF$157+DA161/4</f>
        <v>2040.5</v>
      </c>
      <c r="DD161" s="1029">
        <f>$DF$157+DA161/2-1</f>
        <v>2053</v>
      </c>
      <c r="DE161" s="575">
        <f>$DF$157+DA161/4*3</f>
        <v>2067.5</v>
      </c>
      <c r="DF161" s="576">
        <f>$DF$157+DA161</f>
        <v>2081</v>
      </c>
      <c r="DH161" s="1013">
        <f t="shared" ref="DH161:DH169" si="24">CX161*DK161</f>
        <v>3647472.3301976235</v>
      </c>
      <c r="DI161" s="1013">
        <f t="shared" ref="DI161:DI169" si="25">CY161*DK161</f>
        <v>3647472.3301976235</v>
      </c>
      <c r="DJ161" s="1007">
        <f t="shared" ref="DJ161:DJ169" si="26">CZ161*DK161</f>
        <v>3647472.3301976235</v>
      </c>
      <c r="DK161" s="1009">
        <v>72949446.603952467</v>
      </c>
      <c r="DN161" s="577">
        <f>SUM(DH161:DI161)</f>
        <v>7294944.6603952469</v>
      </c>
      <c r="DO161" s="564">
        <v>2032</v>
      </c>
      <c r="DP161" s="764" t="s">
        <v>122</v>
      </c>
      <c r="DQ161" s="764" t="s">
        <v>122</v>
      </c>
      <c r="DR161" s="764" t="s">
        <v>122</v>
      </c>
      <c r="DS161" s="764" t="s">
        <v>122</v>
      </c>
      <c r="DT161" s="764" t="s">
        <v>122</v>
      </c>
      <c r="FV161" s="738"/>
      <c r="FZ161" s="994"/>
      <c r="GA161" s="994"/>
      <c r="GB161" s="994"/>
      <c r="GC161" s="994"/>
      <c r="GD161" s="994"/>
    </row>
    <row r="162" spans="1:186" s="564" customFormat="1" ht="15" customHeight="1" x14ac:dyDescent="0.3">
      <c r="A162" s="1140" t="s">
        <v>327</v>
      </c>
      <c r="B162" s="1140"/>
      <c r="C162" s="1140"/>
      <c r="D162" s="565"/>
      <c r="E162" s="563"/>
      <c r="F162" s="563"/>
      <c r="H162" s="336" t="s">
        <v>577</v>
      </c>
      <c r="I162" s="354">
        <v>7.2111111111111112</v>
      </c>
      <c r="J162" s="354">
        <v>4.7222222222222223</v>
      </c>
      <c r="K162" s="730">
        <f t="shared" ref="K162:K165" si="27">I162*$P$5+J162*$P$6</f>
        <v>2350.8111111111111</v>
      </c>
      <c r="L162" s="730"/>
      <c r="M162" s="286">
        <f t="shared" si="23"/>
        <v>2350.8111111111111</v>
      </c>
      <c r="P162" s="2"/>
      <c r="CW162" s="572" t="s">
        <v>437</v>
      </c>
      <c r="CX162" s="573">
        <v>0.05</v>
      </c>
      <c r="CY162" s="573">
        <v>0.2</v>
      </c>
      <c r="CZ162" s="573">
        <v>0.05</v>
      </c>
      <c r="DA162" s="567">
        <v>60</v>
      </c>
      <c r="DC162" s="1028">
        <f t="shared" ref="DC162:DC169" si="28">$DF$157+DA162/4</f>
        <v>2042</v>
      </c>
      <c r="DD162" s="575">
        <f t="shared" ref="DD162:DD169" si="29">$DF$157+DA162/2</f>
        <v>2057</v>
      </c>
      <c r="DE162" s="575">
        <f t="shared" ref="DE162:DE169" si="30">$DF$157+DA162/4*3</f>
        <v>2072</v>
      </c>
      <c r="DF162" s="576">
        <f t="shared" ref="DF162:DF169" si="31">$DF$157+DA162</f>
        <v>2087</v>
      </c>
      <c r="DH162" s="1013">
        <f t="shared" si="24"/>
        <v>19984991.462747853</v>
      </c>
      <c r="DI162" s="1007">
        <f t="shared" si="25"/>
        <v>79939965.850991413</v>
      </c>
      <c r="DJ162" s="1007">
        <f t="shared" si="26"/>
        <v>19984991.462747853</v>
      </c>
      <c r="DK162" s="1009">
        <f>399.699829254957*1000000</f>
        <v>399699829.25495702</v>
      </c>
      <c r="DN162" s="577">
        <f>SUM(DH162)</f>
        <v>19984991.462747853</v>
      </c>
      <c r="DO162" s="564">
        <v>2035</v>
      </c>
      <c r="DP162" s="764" t="s">
        <v>122</v>
      </c>
      <c r="DQ162" s="564">
        <v>14</v>
      </c>
      <c r="DR162" s="764" t="s">
        <v>122</v>
      </c>
      <c r="DS162" s="764" t="s">
        <v>122</v>
      </c>
      <c r="DT162" s="764" t="s">
        <v>122</v>
      </c>
      <c r="FV162" s="738"/>
      <c r="FZ162" s="994"/>
      <c r="GA162" s="994"/>
      <c r="GB162" s="994"/>
      <c r="GC162" s="994"/>
      <c r="GD162" s="994"/>
    </row>
    <row r="163" spans="1:186" s="564" customFormat="1" ht="15" customHeight="1" x14ac:dyDescent="0.3">
      <c r="A163" s="1147" t="s">
        <v>319</v>
      </c>
      <c r="B163" s="1147"/>
      <c r="C163" s="1147"/>
      <c r="D163" s="562"/>
      <c r="E163" s="563"/>
      <c r="F163" s="563"/>
      <c r="H163" s="336" t="s">
        <v>578</v>
      </c>
      <c r="I163" s="354">
        <v>7.5</v>
      </c>
      <c r="J163" s="354">
        <v>3.7777777777777777</v>
      </c>
      <c r="K163" s="730">
        <f t="shared" si="27"/>
        <v>2316.8888888888887</v>
      </c>
      <c r="L163" s="730"/>
      <c r="M163" s="286">
        <f t="shared" si="23"/>
        <v>2316.8888888888887</v>
      </c>
      <c r="P163" s="2"/>
      <c r="CW163" s="572" t="s">
        <v>438</v>
      </c>
      <c r="CX163" s="573">
        <v>0.02</v>
      </c>
      <c r="CY163" s="573">
        <v>0.05</v>
      </c>
      <c r="CZ163" s="573">
        <v>0.03</v>
      </c>
      <c r="DA163" s="567">
        <v>20</v>
      </c>
      <c r="DC163" s="1028">
        <f t="shared" si="28"/>
        <v>2032</v>
      </c>
      <c r="DD163" s="1028">
        <f t="shared" si="29"/>
        <v>2037</v>
      </c>
      <c r="DE163" s="1028">
        <f t="shared" si="30"/>
        <v>2042</v>
      </c>
      <c r="DF163" s="1027">
        <f t="shared" si="31"/>
        <v>2047</v>
      </c>
      <c r="DG163" s="1030">
        <f>DF163+DA163/4</f>
        <v>2052</v>
      </c>
      <c r="DH163" s="1013">
        <f t="shared" si="24"/>
        <v>535666.37352175859</v>
      </c>
      <c r="DI163" s="1013">
        <f t="shared" si="25"/>
        <v>1339165.9338043965</v>
      </c>
      <c r="DJ163" s="1013">
        <f t="shared" si="26"/>
        <v>803499.56028263783</v>
      </c>
      <c r="DK163" s="1014">
        <v>26783318.676087927</v>
      </c>
      <c r="DL163" s="1013">
        <f>DH163</f>
        <v>535666.37352175859</v>
      </c>
      <c r="DN163" s="577">
        <f>SUM(DH163:DL163)</f>
        <v>29997316.91721848</v>
      </c>
      <c r="DO163" s="564">
        <v>2036</v>
      </c>
      <c r="DP163" s="25">
        <v>20</v>
      </c>
      <c r="DQ163" s="25">
        <v>330</v>
      </c>
      <c r="DR163" s="25">
        <v>20</v>
      </c>
      <c r="DS163" s="25">
        <v>190</v>
      </c>
      <c r="DT163" s="564">
        <v>14</v>
      </c>
      <c r="FV163" s="738"/>
      <c r="FZ163" s="994"/>
      <c r="GA163" s="994"/>
      <c r="GB163" s="994"/>
      <c r="GC163" s="994"/>
      <c r="GD163" s="994"/>
    </row>
    <row r="164" spans="1:186" s="564" customFormat="1" ht="15" customHeight="1" thickBot="1" x14ac:dyDescent="0.35">
      <c r="A164" s="954" t="s">
        <v>149</v>
      </c>
      <c r="B164" s="953" t="s">
        <v>329</v>
      </c>
      <c r="C164" s="953" t="s">
        <v>328</v>
      </c>
      <c r="D164" s="953" t="s">
        <v>317</v>
      </c>
      <c r="E164" s="953" t="s">
        <v>318</v>
      </c>
      <c r="F164" s="429"/>
      <c r="H164" s="336" t="s">
        <v>579</v>
      </c>
      <c r="I164" s="354">
        <v>14.933333333333332</v>
      </c>
      <c r="J164" s="354">
        <v>6.5555555555555554</v>
      </c>
      <c r="K164" s="730">
        <f t="shared" si="27"/>
        <v>4503.9777777777772</v>
      </c>
      <c r="L164" s="730">
        <f t="shared" ref="L164:L166" si="32">K164</f>
        <v>4503.9777777777772</v>
      </c>
      <c r="M164" s="865">
        <f>SUM(M160:M163)</f>
        <v>42428.311111111121</v>
      </c>
      <c r="P164" s="2"/>
      <c r="CW164" s="572" t="s">
        <v>448</v>
      </c>
      <c r="CX164" s="573">
        <v>0.15</v>
      </c>
      <c r="CY164" s="573">
        <v>0.3</v>
      </c>
      <c r="CZ164" s="573">
        <v>0.15</v>
      </c>
      <c r="DA164" s="567">
        <v>50</v>
      </c>
      <c r="DC164" s="1028">
        <f t="shared" si="28"/>
        <v>2039.5</v>
      </c>
      <c r="DD164" s="1028">
        <f t="shared" si="29"/>
        <v>2052</v>
      </c>
      <c r="DE164" s="575">
        <f t="shared" si="30"/>
        <v>2064.5</v>
      </c>
      <c r="DF164" s="576">
        <f t="shared" si="31"/>
        <v>2077</v>
      </c>
      <c r="DH164" s="1013">
        <f t="shared" si="24"/>
        <v>27285770.327208243</v>
      </c>
      <c r="DI164" s="1013">
        <f t="shared" si="25"/>
        <v>54571540.654416487</v>
      </c>
      <c r="DJ164" s="1007">
        <f t="shared" si="26"/>
        <v>27285770.327208243</v>
      </c>
      <c r="DK164" s="1009">
        <f>43523756.3695176+7763749.03944901+130617630.105755</f>
        <v>181905135.51472163</v>
      </c>
      <c r="DM164" s="564" t="s">
        <v>910</v>
      </c>
      <c r="DN164" s="577">
        <f>SUM(DH164:DI164)</f>
        <v>81857310.981624722</v>
      </c>
      <c r="DO164" s="564">
        <v>2037</v>
      </c>
      <c r="DP164" s="25">
        <v>3</v>
      </c>
      <c r="DQ164" s="25">
        <v>28</v>
      </c>
      <c r="DR164" s="25">
        <v>3</v>
      </c>
      <c r="DS164" s="25">
        <v>20</v>
      </c>
      <c r="DT164" s="764" t="s">
        <v>122</v>
      </c>
      <c r="FV164" s="738"/>
      <c r="FZ164" s="994"/>
      <c r="GA164" s="994"/>
      <c r="GB164" s="994"/>
      <c r="GC164" s="994"/>
      <c r="GD164" s="994"/>
    </row>
    <row r="165" spans="1:186" s="564" customFormat="1" ht="15" customHeight="1" thickBot="1" x14ac:dyDescent="0.35">
      <c r="A165" s="954" t="s">
        <v>216</v>
      </c>
      <c r="B165" s="953">
        <v>0</v>
      </c>
      <c r="C165" s="953">
        <v>0</v>
      </c>
      <c r="D165" s="953">
        <v>0</v>
      </c>
      <c r="E165" s="953">
        <v>0</v>
      </c>
      <c r="F165" s="429"/>
      <c r="H165" s="336" t="s">
        <v>580</v>
      </c>
      <c r="I165" s="354">
        <v>29.377777777777776</v>
      </c>
      <c r="J165" s="354">
        <v>9.8888888888888893</v>
      </c>
      <c r="K165" s="730">
        <f t="shared" si="27"/>
        <v>8520.6444444444442</v>
      </c>
      <c r="L165" s="730">
        <f t="shared" si="32"/>
        <v>8520.6444444444442</v>
      </c>
      <c r="M165" s="286"/>
      <c r="BH165" s="989"/>
      <c r="CW165" s="572" t="s">
        <v>439</v>
      </c>
      <c r="CX165" s="573">
        <v>0.1</v>
      </c>
      <c r="CY165" s="573">
        <v>0.25</v>
      </c>
      <c r="CZ165" s="573">
        <v>0.15</v>
      </c>
      <c r="DA165" s="567">
        <v>25</v>
      </c>
      <c r="DC165" s="1028">
        <f t="shared" si="28"/>
        <v>2033.25</v>
      </c>
      <c r="DD165" s="1028">
        <f t="shared" si="29"/>
        <v>2039.5</v>
      </c>
      <c r="DE165" s="1028">
        <f t="shared" si="30"/>
        <v>2045.75</v>
      </c>
      <c r="DF165" s="1027">
        <f t="shared" si="31"/>
        <v>2052</v>
      </c>
      <c r="DH165" s="1013">
        <f t="shared" si="24"/>
        <v>17054120.66046432</v>
      </c>
      <c r="DI165" s="1013">
        <f t="shared" si="25"/>
        <v>42635301.651160799</v>
      </c>
      <c r="DJ165" s="1013">
        <f t="shared" si="26"/>
        <v>25581180.990696479</v>
      </c>
      <c r="DK165" s="1014">
        <f>169024108.826734+1517097.77790918</f>
        <v>170541206.6046432</v>
      </c>
      <c r="DM165" s="564" t="s">
        <v>527</v>
      </c>
      <c r="DN165" s="577">
        <f t="shared" ref="DN165:DN169" si="33">SUM(DH165:DK165)</f>
        <v>255811809.90696478</v>
      </c>
      <c r="DO165" s="564">
        <v>2041</v>
      </c>
      <c r="DP165" s="764" t="s">
        <v>122</v>
      </c>
      <c r="DQ165" s="564">
        <v>8</v>
      </c>
      <c r="DR165" s="764" t="s">
        <v>122</v>
      </c>
      <c r="DS165" s="764" t="s">
        <v>122</v>
      </c>
      <c r="DT165" s="764" t="s">
        <v>122</v>
      </c>
      <c r="FV165" s="738"/>
      <c r="FZ165" s="994"/>
      <c r="GA165" s="994"/>
      <c r="GB165" s="994"/>
      <c r="GC165" s="994"/>
      <c r="GD165" s="994"/>
    </row>
    <row r="166" spans="1:186" s="564" customFormat="1" ht="15" customHeight="1" thickBot="1" x14ac:dyDescent="0.35">
      <c r="A166" s="954" t="s">
        <v>215</v>
      </c>
      <c r="B166" s="953">
        <v>10</v>
      </c>
      <c r="C166" s="953">
        <v>10</v>
      </c>
      <c r="D166" s="953">
        <v>8</v>
      </c>
      <c r="E166" s="953">
        <v>8</v>
      </c>
      <c r="F166" s="429"/>
      <c r="H166" s="336" t="s">
        <v>581</v>
      </c>
      <c r="I166" s="354">
        <v>18.477777777777774</v>
      </c>
      <c r="J166" s="354">
        <v>7.2222222222222214</v>
      </c>
      <c r="K166" s="730">
        <f>I166*$P$5+J166*$P$6</f>
        <v>5472.51111111111</v>
      </c>
      <c r="L166" s="730">
        <f t="shared" si="32"/>
        <v>5472.51111111111</v>
      </c>
      <c r="M166" s="766"/>
      <c r="CW166" s="572" t="s">
        <v>440</v>
      </c>
      <c r="CX166" s="573">
        <v>0.1</v>
      </c>
      <c r="CY166" s="573">
        <v>0.25</v>
      </c>
      <c r="CZ166" s="573">
        <v>0.15</v>
      </c>
      <c r="DA166" s="567">
        <v>25</v>
      </c>
      <c r="DC166" s="1028">
        <f t="shared" si="28"/>
        <v>2033.25</v>
      </c>
      <c r="DD166" s="1028">
        <f t="shared" si="29"/>
        <v>2039.5</v>
      </c>
      <c r="DE166" s="1028">
        <f t="shared" si="30"/>
        <v>2045.75</v>
      </c>
      <c r="DF166" s="1027">
        <f t="shared" si="31"/>
        <v>2052</v>
      </c>
      <c r="DH166" s="1013">
        <f t="shared" si="24"/>
        <v>7725233.666942752</v>
      </c>
      <c r="DI166" s="1013">
        <f t="shared" si="25"/>
        <v>19313084.167356879</v>
      </c>
      <c r="DJ166" s="1013">
        <f t="shared" si="26"/>
        <v>11587850.500414127</v>
      </c>
      <c r="DK166" s="1014">
        <v>77252336.669427514</v>
      </c>
      <c r="DN166" s="577">
        <f t="shared" si="33"/>
        <v>115878505.00414127</v>
      </c>
      <c r="DO166" s="564">
        <v>2042</v>
      </c>
      <c r="DP166" s="25">
        <v>15</v>
      </c>
      <c r="DQ166" s="25">
        <v>240</v>
      </c>
      <c r="DR166" s="25">
        <v>15</v>
      </c>
      <c r="DS166" s="25">
        <v>140</v>
      </c>
      <c r="DT166" s="564">
        <v>12</v>
      </c>
      <c r="FV166" s="738"/>
      <c r="FZ166" s="994"/>
      <c r="GA166" s="994"/>
      <c r="GB166" s="994"/>
      <c r="GC166" s="994"/>
      <c r="GD166" s="994"/>
    </row>
    <row r="167" spans="1:186" s="564" customFormat="1" ht="15" customHeight="1" thickBot="1" x14ac:dyDescent="0.35">
      <c r="A167" s="956" t="s">
        <v>152</v>
      </c>
      <c r="B167" s="953">
        <v>0</v>
      </c>
      <c r="C167" s="953">
        <v>0</v>
      </c>
      <c r="D167" s="953">
        <v>1</v>
      </c>
      <c r="E167" s="953">
        <v>1</v>
      </c>
      <c r="F167" s="429"/>
      <c r="H167" s="35" t="s">
        <v>582</v>
      </c>
      <c r="I167" s="199"/>
      <c r="J167" s="199"/>
      <c r="K167" s="731">
        <f>SUM(K161:K166)</f>
        <v>25200.155555555553</v>
      </c>
      <c r="L167" s="731">
        <f>SUM(L164:L166)</f>
        <v>18497.133333333331</v>
      </c>
      <c r="M167" s="866" t="s">
        <v>629</v>
      </c>
      <c r="N167" s="866" t="s">
        <v>630</v>
      </c>
      <c r="O167" s="868" t="s">
        <v>631</v>
      </c>
      <c r="P167" s="861"/>
      <c r="Q167" s="861"/>
      <c r="CW167" s="572" t="s">
        <v>441</v>
      </c>
      <c r="CX167" s="573">
        <v>0.1</v>
      </c>
      <c r="CY167" s="573">
        <v>0.25</v>
      </c>
      <c r="CZ167" s="573">
        <v>0.15</v>
      </c>
      <c r="DA167" s="567">
        <v>25</v>
      </c>
      <c r="DC167" s="1028">
        <f t="shared" si="28"/>
        <v>2033.25</v>
      </c>
      <c r="DD167" s="1028">
        <f t="shared" si="29"/>
        <v>2039.5</v>
      </c>
      <c r="DE167" s="1028">
        <f t="shared" si="30"/>
        <v>2045.75</v>
      </c>
      <c r="DF167" s="1027">
        <f t="shared" si="31"/>
        <v>2052</v>
      </c>
      <c r="DH167" s="1013">
        <f t="shared" si="24"/>
        <v>11277093.482458184</v>
      </c>
      <c r="DI167" s="1013">
        <f t="shared" si="25"/>
        <v>28192733.706145458</v>
      </c>
      <c r="DJ167" s="1013">
        <f t="shared" si="26"/>
        <v>16915640.223687273</v>
      </c>
      <c r="DK167" s="1014">
        <f>114288032.602491-1517097.77790918</f>
        <v>112770934.82458183</v>
      </c>
      <c r="DL167" s="577">
        <f>SUM(DK166:DK167)</f>
        <v>190023271.49400935</v>
      </c>
      <c r="DM167" s="1005"/>
      <c r="DN167" s="577">
        <f t="shared" si="33"/>
        <v>169156402.23687273</v>
      </c>
      <c r="DO167" s="564">
        <v>2047</v>
      </c>
      <c r="DP167" s="25">
        <v>5</v>
      </c>
      <c r="DQ167" s="564">
        <v>120</v>
      </c>
      <c r="DR167" s="25">
        <v>5</v>
      </c>
      <c r="DS167" s="564">
        <v>120</v>
      </c>
      <c r="DT167" s="564">
        <v>10</v>
      </c>
      <c r="FV167" s="738"/>
      <c r="FZ167" s="994"/>
      <c r="GA167" s="994"/>
      <c r="GB167" s="994"/>
      <c r="GC167" s="994"/>
      <c r="GD167" s="994"/>
    </row>
    <row r="168" spans="1:186" s="564" customFormat="1" ht="15" customHeight="1" thickBot="1" x14ac:dyDescent="0.35">
      <c r="A168" s="954" t="s">
        <v>153</v>
      </c>
      <c r="B168" s="953">
        <v>49</v>
      </c>
      <c r="C168" s="953">
        <v>50</v>
      </c>
      <c r="D168" s="953">
        <v>27</v>
      </c>
      <c r="E168" s="953">
        <v>25</v>
      </c>
      <c r="F168" s="429"/>
      <c r="H168" s="729" t="s">
        <v>237</v>
      </c>
      <c r="I168" s="355">
        <v>1871.8222222222223</v>
      </c>
      <c r="J168" s="355">
        <v>887.44444444444446</v>
      </c>
      <c r="M168" s="766">
        <f>(I168*$P$5+J168*$P$6)</f>
        <v>571980.4222222222</v>
      </c>
      <c r="N168" s="766">
        <f>M168*0.45</f>
        <v>257391.19</v>
      </c>
      <c r="O168" s="766">
        <f>M168</f>
        <v>571980.4222222222</v>
      </c>
      <c r="P168" s="861"/>
      <c r="Q168" s="861"/>
      <c r="CW168" s="572" t="s">
        <v>449</v>
      </c>
      <c r="CX168" s="573">
        <v>0.1</v>
      </c>
      <c r="CY168" s="573">
        <v>0.25</v>
      </c>
      <c r="CZ168" s="573">
        <v>0.15</v>
      </c>
      <c r="DA168" s="567">
        <v>25</v>
      </c>
      <c r="DC168" s="1028">
        <f t="shared" si="28"/>
        <v>2033.25</v>
      </c>
      <c r="DD168" s="1028">
        <f t="shared" si="29"/>
        <v>2039.5</v>
      </c>
      <c r="DE168" s="1028">
        <f t="shared" si="30"/>
        <v>2045.75</v>
      </c>
      <c r="DF168" s="1027">
        <f t="shared" si="31"/>
        <v>2052</v>
      </c>
      <c r="DH168" s="1013">
        <f t="shared" si="24"/>
        <v>30898040.815349802</v>
      </c>
      <c r="DI168" s="1013">
        <f t="shared" si="25"/>
        <v>77245102.038374498</v>
      </c>
      <c r="DJ168" s="1013">
        <f t="shared" si="26"/>
        <v>46347061.223024696</v>
      </c>
      <c r="DK168" s="1014">
        <v>308980408.15349799</v>
      </c>
      <c r="DN168" s="577">
        <f t="shared" si="33"/>
        <v>463470612.23024702</v>
      </c>
      <c r="DO168" s="564">
        <v>2049</v>
      </c>
      <c r="FV168" s="738"/>
      <c r="FZ168" s="994"/>
      <c r="GA168" s="994"/>
      <c r="GB168" s="994"/>
      <c r="GC168" s="994"/>
      <c r="GD168" s="994"/>
    </row>
    <row r="169" spans="1:186" s="564" customFormat="1" ht="15" customHeight="1" x14ac:dyDescent="0.3">
      <c r="A169" s="1140" t="s">
        <v>327</v>
      </c>
      <c r="B169" s="1140"/>
      <c r="C169" s="1140"/>
      <c r="D169" s="565"/>
      <c r="H169" s="729" t="s">
        <v>583</v>
      </c>
      <c r="I169" s="355">
        <v>262.66666666666663</v>
      </c>
      <c r="J169" s="355">
        <v>100.83333333333333</v>
      </c>
      <c r="K169" s="730">
        <f>I169*$P$5+J169*$P$6</f>
        <v>77586.166666666657</v>
      </c>
      <c r="M169" s="286">
        <f>K169</f>
        <v>77586.166666666657</v>
      </c>
      <c r="N169" s="286">
        <f t="shared" ref="N169:N176" si="34">M169*0.45</f>
        <v>34913.774999999994</v>
      </c>
      <c r="O169" s="766">
        <f t="shared" ref="O169:O170" si="35">M169</f>
        <v>77586.166666666657</v>
      </c>
      <c r="Q169" s="772"/>
      <c r="R169" s="746"/>
      <c r="CW169" s="572" t="s">
        <v>450</v>
      </c>
      <c r="CX169" s="573">
        <v>0.1</v>
      </c>
      <c r="CY169" s="573">
        <v>0.25</v>
      </c>
      <c r="CZ169" s="573">
        <v>0.15</v>
      </c>
      <c r="DA169" s="567">
        <v>25</v>
      </c>
      <c r="DC169" s="1028">
        <f t="shared" si="28"/>
        <v>2033.25</v>
      </c>
      <c r="DD169" s="1028">
        <f t="shared" si="29"/>
        <v>2039.5</v>
      </c>
      <c r="DE169" s="1028">
        <f t="shared" si="30"/>
        <v>2045.75</v>
      </c>
      <c r="DF169" s="1027">
        <f t="shared" si="31"/>
        <v>2052</v>
      </c>
      <c r="DH169" s="1013">
        <f t="shared" si="24"/>
        <v>11121707.06165687</v>
      </c>
      <c r="DI169" s="1013">
        <f t="shared" si="25"/>
        <v>27804267.654142171</v>
      </c>
      <c r="DJ169" s="1013">
        <f t="shared" si="26"/>
        <v>16682560.592485301</v>
      </c>
      <c r="DK169" s="1014">
        <f>110473510.201849+743560.414719687</f>
        <v>111217070.61656868</v>
      </c>
      <c r="DN169" s="577">
        <f t="shared" si="33"/>
        <v>166825605.92485303</v>
      </c>
      <c r="FV169" s="738"/>
      <c r="FZ169" s="994"/>
      <c r="GA169" s="994"/>
      <c r="GB169" s="994"/>
      <c r="GC169" s="994"/>
      <c r="GD169" s="994"/>
    </row>
    <row r="170" spans="1:186" ht="15" thickBot="1" x14ac:dyDescent="0.35">
      <c r="A170" s="1076" t="s">
        <v>321</v>
      </c>
      <c r="B170" s="1076"/>
      <c r="C170" s="1076"/>
      <c r="D170" s="421"/>
      <c r="H170" s="729" t="s">
        <v>584</v>
      </c>
      <c r="I170" s="355">
        <v>294.53333333333336</v>
      </c>
      <c r="J170" s="355">
        <v>107.44444444444444</v>
      </c>
      <c r="K170" s="730">
        <f t="shared" ref="K170:K176" si="36">I170*$P$5+J170*$P$6</f>
        <v>86363.622222222228</v>
      </c>
      <c r="M170" s="286">
        <f t="shared" ref="M170:M176" si="37">K170</f>
        <v>86363.622222222228</v>
      </c>
      <c r="N170" s="286">
        <f t="shared" si="34"/>
        <v>38863.630000000005</v>
      </c>
      <c r="O170" s="766">
        <f t="shared" si="35"/>
        <v>86363.622222222228</v>
      </c>
      <c r="P170" s="859"/>
      <c r="Q170" s="859"/>
      <c r="DK170" s="594">
        <f>SUM(DK160,DK163,DK165:DK169)</f>
        <v>1192937267.5777044</v>
      </c>
    </row>
    <row r="171" spans="1:186" ht="16.2" thickBot="1" x14ac:dyDescent="0.45">
      <c r="A171" s="945" t="s">
        <v>149</v>
      </c>
      <c r="B171" s="946" t="s">
        <v>150</v>
      </c>
      <c r="C171" s="946" t="s">
        <v>151</v>
      </c>
      <c r="D171" s="211"/>
      <c r="H171" s="729" t="s">
        <v>236</v>
      </c>
      <c r="I171" s="355">
        <v>1496.4555555555555</v>
      </c>
      <c r="J171" s="355">
        <v>529.38888888888891</v>
      </c>
      <c r="K171" s="730">
        <f t="shared" si="36"/>
        <v>436927.74444444443</v>
      </c>
      <c r="L171" s="762">
        <f>K171</f>
        <v>436927.74444444443</v>
      </c>
      <c r="M171" s="286">
        <f t="shared" si="37"/>
        <v>436927.74444444443</v>
      </c>
      <c r="N171" s="286">
        <f t="shared" si="34"/>
        <v>196617.48499999999</v>
      </c>
      <c r="O171" s="865">
        <f>SUM(O168:O170)</f>
        <v>735930.2111111111</v>
      </c>
      <c r="P171" s="859"/>
      <c r="Q171" s="859"/>
      <c r="DH171" s="597">
        <f>SUM(DH160:DH169,DI160:DI161,DI163:DI169,DJ160,DJ163,DJ165:DJ169,DK160,DK163,DK165:DK169,DL163)</f>
        <v>1869095887.7727656</v>
      </c>
      <c r="DJ171" s="457">
        <f>SUM(DH160:DH169,DI160:DI161,DI163:DI169,DJ160,DJ163,DJ165:DJ169,DL163)+'[2]Provozní náklady'!$AK$38</f>
        <v>1081793416.2545564</v>
      </c>
      <c r="DK171" s="1008">
        <f>SUM(DK160:DK169)</f>
        <v>1847491678.9513354</v>
      </c>
      <c r="DL171" s="1008" t="s">
        <v>914</v>
      </c>
    </row>
    <row r="172" spans="1:186" ht="15" thickBot="1" x14ac:dyDescent="0.35">
      <c r="A172" s="938" t="s">
        <v>216</v>
      </c>
      <c r="B172" s="953">
        <v>0</v>
      </c>
      <c r="C172" s="953">
        <v>0</v>
      </c>
      <c r="D172" s="427"/>
      <c r="H172" s="729" t="s">
        <v>585</v>
      </c>
      <c r="I172" s="355">
        <v>172.33333333333334</v>
      </c>
      <c r="J172" s="355">
        <v>63.555555555555557</v>
      </c>
      <c r="K172" s="730">
        <f t="shared" si="36"/>
        <v>50609.777777777781</v>
      </c>
      <c r="L172" s="762">
        <f t="shared" ref="L172:L176" si="38">K172</f>
        <v>50609.777777777781</v>
      </c>
      <c r="M172" s="286">
        <f t="shared" si="37"/>
        <v>50609.777777777781</v>
      </c>
      <c r="N172" s="286">
        <f t="shared" si="34"/>
        <v>22774.400000000001</v>
      </c>
      <c r="O172" s="286"/>
      <c r="P172" s="859"/>
      <c r="Q172" s="859"/>
      <c r="DC172" s="2" t="s">
        <v>459</v>
      </c>
    </row>
    <row r="173" spans="1:186" ht="15" thickBot="1" x14ac:dyDescent="0.35">
      <c r="A173" s="938" t="s">
        <v>215</v>
      </c>
      <c r="B173" s="953">
        <v>10</v>
      </c>
      <c r="C173" s="953">
        <v>10</v>
      </c>
      <c r="D173" s="427"/>
      <c r="H173" s="729" t="s">
        <v>586</v>
      </c>
      <c r="I173" s="355">
        <v>282.56666666666666</v>
      </c>
      <c r="J173" s="355">
        <v>55.166666666666671</v>
      </c>
      <c r="K173" s="730">
        <f t="shared" si="36"/>
        <v>77440.633333333331</v>
      </c>
      <c r="L173" s="762">
        <f t="shared" si="38"/>
        <v>77440.633333333331</v>
      </c>
      <c r="M173" s="286">
        <f t="shared" si="37"/>
        <v>77440.633333333331</v>
      </c>
      <c r="N173" s="286">
        <f t="shared" si="34"/>
        <v>34848.285000000003</v>
      </c>
      <c r="O173" s="286"/>
      <c r="P173" s="859"/>
      <c r="Q173" s="859"/>
      <c r="DB173" s="1087" t="s">
        <v>462</v>
      </c>
      <c r="DC173" s="1073" t="s">
        <v>452</v>
      </c>
      <c r="DD173" s="1073"/>
      <c r="DE173" s="1073"/>
      <c r="DF173" s="1075" t="s">
        <v>454</v>
      </c>
      <c r="DG173" s="1093" t="s">
        <v>505</v>
      </c>
      <c r="DH173" s="1073" t="s">
        <v>456</v>
      </c>
      <c r="DI173" s="1073"/>
      <c r="DJ173" s="1073"/>
      <c r="DK173" s="1075" t="s">
        <v>457</v>
      </c>
      <c r="DL173" s="1075" t="s">
        <v>522</v>
      </c>
    </row>
    <row r="174" spans="1:186" ht="15" thickBot="1" x14ac:dyDescent="0.35">
      <c r="A174" s="945" t="s">
        <v>152</v>
      </c>
      <c r="B174" s="953">
        <v>0</v>
      </c>
      <c r="C174" s="953">
        <v>0</v>
      </c>
      <c r="D174" s="427"/>
      <c r="H174" s="729" t="s">
        <v>587</v>
      </c>
      <c r="I174" s="355">
        <v>294.8</v>
      </c>
      <c r="J174" s="355">
        <v>94.444444444444443</v>
      </c>
      <c r="K174" s="730">
        <f t="shared" si="36"/>
        <v>84961.822222222225</v>
      </c>
      <c r="L174" s="762">
        <f t="shared" si="38"/>
        <v>84961.822222222225</v>
      </c>
      <c r="M174" s="286">
        <f t="shared" si="37"/>
        <v>84961.822222222225</v>
      </c>
      <c r="N174" s="286">
        <f t="shared" si="34"/>
        <v>38232.82</v>
      </c>
      <c r="O174" s="286"/>
      <c r="P174" s="859"/>
      <c r="Q174" s="859"/>
      <c r="CZ174" s="2" t="s">
        <v>461</v>
      </c>
      <c r="DB174" s="1087"/>
      <c r="DC174" s="578" t="s">
        <v>442</v>
      </c>
      <c r="DD174" s="578" t="s">
        <v>443</v>
      </c>
      <c r="DE174" s="578" t="s">
        <v>444</v>
      </c>
      <c r="DF174" s="1075"/>
      <c r="DG174" s="1093"/>
      <c r="DH174" s="579" t="s">
        <v>442</v>
      </c>
      <c r="DI174" s="579" t="s">
        <v>443</v>
      </c>
      <c r="DJ174" s="579" t="s">
        <v>444</v>
      </c>
      <c r="DK174" s="1075"/>
      <c r="DL174" s="1075"/>
    </row>
    <row r="175" spans="1:186" ht="15" thickBot="1" x14ac:dyDescent="0.35">
      <c r="A175" s="938" t="s">
        <v>153</v>
      </c>
      <c r="B175" s="953">
        <v>12</v>
      </c>
      <c r="C175" s="953">
        <v>12</v>
      </c>
      <c r="D175" s="427"/>
      <c r="H175" s="729" t="s">
        <v>588</v>
      </c>
      <c r="I175" s="355">
        <v>233.3</v>
      </c>
      <c r="J175" s="355">
        <v>77.833333333333343</v>
      </c>
      <c r="K175" s="730">
        <f t="shared" si="36"/>
        <v>67586.766666666677</v>
      </c>
      <c r="L175" s="762">
        <f t="shared" si="38"/>
        <v>67586.766666666677</v>
      </c>
      <c r="M175" s="286">
        <f t="shared" si="37"/>
        <v>67586.766666666677</v>
      </c>
      <c r="N175" s="286">
        <f t="shared" si="34"/>
        <v>30414.045000000006</v>
      </c>
      <c r="O175" s="286"/>
      <c r="P175" s="859"/>
      <c r="Q175" s="859"/>
      <c r="CW175" s="1073" t="s">
        <v>446</v>
      </c>
      <c r="CX175" s="320" t="s">
        <v>460</v>
      </c>
      <c r="CY175" s="320"/>
      <c r="CZ175" s="320">
        <v>2002</v>
      </c>
      <c r="DA175" s="2" t="s">
        <v>513</v>
      </c>
      <c r="DB175" s="320">
        <f>CZ175+1+$DA$160</f>
        <v>2030</v>
      </c>
      <c r="DC175" s="1031">
        <v>2037</v>
      </c>
      <c r="DD175" s="1031">
        <v>2044</v>
      </c>
      <c r="DE175" s="1031">
        <v>2050</v>
      </c>
      <c r="DF175" s="1031">
        <f>IF(DB175&lt;2026,2026,DB175)</f>
        <v>2030</v>
      </c>
      <c r="DH175" s="1019">
        <f>$CX$160*DL175</f>
        <v>3398975.1982813659</v>
      </c>
      <c r="DI175" s="1019">
        <f>CY160*$DL$175</f>
        <v>6797950.3965627318</v>
      </c>
      <c r="DJ175" s="1019">
        <f>CZ160*$DL$175</f>
        <v>5098462.7974220486</v>
      </c>
      <c r="DK175" s="1018">
        <f>33.6597543907475*1000000</f>
        <v>33659754.390747502</v>
      </c>
      <c r="DL175" s="1015">
        <f>DK175/1.02*1.03</f>
        <v>33989751.982813656</v>
      </c>
      <c r="DM175" s="184"/>
      <c r="DN175" s="1098">
        <f>SUM(DH175:DK180,DL176:DL180,DH181:DK184)</f>
        <v>715412368.05541313</v>
      </c>
    </row>
    <row r="176" spans="1:186" ht="15" customHeight="1" x14ac:dyDescent="0.3">
      <c r="A176" s="1140" t="s">
        <v>327</v>
      </c>
      <c r="B176" s="1140"/>
      <c r="C176" s="1140"/>
      <c r="D176" s="425"/>
      <c r="H176" s="729" t="s">
        <v>589</v>
      </c>
      <c r="I176" s="355">
        <v>184.24444444444444</v>
      </c>
      <c r="J176" s="355">
        <v>57.833333333333329</v>
      </c>
      <c r="K176" s="730">
        <f t="shared" si="36"/>
        <v>52964.766666666663</v>
      </c>
      <c r="L176" s="762">
        <f t="shared" si="38"/>
        <v>52964.766666666663</v>
      </c>
      <c r="M176" s="286">
        <f t="shared" si="37"/>
        <v>52964.766666666663</v>
      </c>
      <c r="N176" s="286">
        <f t="shared" si="34"/>
        <v>23834.145</v>
      </c>
      <c r="O176" s="286"/>
      <c r="P176" s="859"/>
      <c r="Q176" s="859"/>
      <c r="CW176" s="1073"/>
      <c r="CX176" s="320" t="s">
        <v>463</v>
      </c>
      <c r="CY176" s="320"/>
      <c r="CZ176" s="320">
        <v>1988</v>
      </c>
      <c r="DA176" s="2" t="s">
        <v>514</v>
      </c>
      <c r="DB176" s="320">
        <f t="shared" ref="DB176:DB181" si="39">CZ176+1+$DA$160</f>
        <v>2016</v>
      </c>
      <c r="DC176" s="1031">
        <v>2033</v>
      </c>
      <c r="DD176" s="1031">
        <v>2040</v>
      </c>
      <c r="DE176" s="1031">
        <v>2047</v>
      </c>
      <c r="DF176" s="1031">
        <f t="shared" ref="DF176:DF185" si="40">IF(DB176&lt;2026,2026,DB176)</f>
        <v>2026</v>
      </c>
      <c r="DG176" s="1037">
        <v>2053</v>
      </c>
      <c r="DH176" s="1019">
        <f>CX160*$DL$176</f>
        <v>6823896.772122141</v>
      </c>
      <c r="DI176" s="1019">
        <f>CY160*$DL$176</f>
        <v>13647793.544244282</v>
      </c>
      <c r="DJ176" s="1019">
        <f>CZ160*$DL$176</f>
        <v>10235845.15818321</v>
      </c>
      <c r="DK176" s="1018">
        <f>67.5764534715008*1000000</f>
        <v>67576453.471500799</v>
      </c>
      <c r="DL176" s="1023">
        <f>68.2389677212214*1000000</f>
        <v>68238967.721221402</v>
      </c>
      <c r="DM176" s="457"/>
      <c r="DN176" s="1098"/>
    </row>
    <row r="177" spans="1:118" ht="15" thickBot="1" x14ac:dyDescent="0.35">
      <c r="A177" s="1076" t="s">
        <v>322</v>
      </c>
      <c r="B177" s="1076"/>
      <c r="C177" s="1076"/>
      <c r="D177" s="421"/>
      <c r="H177" s="199"/>
      <c r="I177" s="199"/>
      <c r="J177" s="199"/>
      <c r="K177" s="731">
        <f>SUM(K169:K176)</f>
        <v>934441.3</v>
      </c>
      <c r="L177" s="731">
        <f>SUM(L171:L176)</f>
        <v>770491.51111111115</v>
      </c>
      <c r="M177" s="865">
        <f>SUM(M168:M176)</f>
        <v>1506421.722222222</v>
      </c>
      <c r="N177" s="865">
        <f>SUM(N168:N176)</f>
        <v>677889.77500000002</v>
      </c>
      <c r="O177" s="286"/>
      <c r="P177" s="859"/>
      <c r="Q177" s="859"/>
      <c r="CW177" s="1073"/>
      <c r="CX177" s="320" t="s">
        <v>464</v>
      </c>
      <c r="CY177" s="320"/>
      <c r="CZ177" s="320">
        <v>1980</v>
      </c>
      <c r="DA177" s="2" t="s">
        <v>515</v>
      </c>
      <c r="DB177" s="320">
        <f t="shared" si="39"/>
        <v>2008</v>
      </c>
      <c r="DC177" s="1031">
        <v>2033</v>
      </c>
      <c r="DD177" s="1031">
        <v>2040</v>
      </c>
      <c r="DE177" s="1031">
        <v>2047</v>
      </c>
      <c r="DF177" s="1031">
        <f t="shared" si="40"/>
        <v>2026</v>
      </c>
      <c r="DG177" s="1037">
        <v>2053</v>
      </c>
      <c r="DH177" s="1019">
        <f>CX160*$DL$177</f>
        <v>2270307.8614474805</v>
      </c>
      <c r="DI177" s="1019">
        <f>CY160*$DL$177</f>
        <v>4540615.722894961</v>
      </c>
      <c r="DJ177" s="1019">
        <f>CZ160*$DL$177</f>
        <v>3405461.7921712203</v>
      </c>
      <c r="DK177" s="1018">
        <f>22.4826603754993*1000000</f>
        <v>22482660.375499301</v>
      </c>
      <c r="DL177" s="1023">
        <f>22.7030786144748*1000000</f>
        <v>22703078.614474803</v>
      </c>
      <c r="DM177" s="457"/>
      <c r="DN177" s="1098"/>
    </row>
    <row r="178" spans="1:118" ht="15" thickBot="1" x14ac:dyDescent="0.35">
      <c r="A178" s="945" t="s">
        <v>149</v>
      </c>
      <c r="B178" s="946" t="s">
        <v>150</v>
      </c>
      <c r="C178" s="946" t="s">
        <v>151</v>
      </c>
      <c r="D178" s="211"/>
      <c r="H178" s="35" t="s">
        <v>590</v>
      </c>
      <c r="I178" s="353" t="s">
        <v>305</v>
      </c>
      <c r="J178" s="353" t="s">
        <v>591</v>
      </c>
      <c r="CW178" s="1073"/>
      <c r="CX178" s="320" t="s">
        <v>465</v>
      </c>
      <c r="CY178" s="320"/>
      <c r="CZ178" s="320">
        <v>1999</v>
      </c>
      <c r="DA178" s="2" t="s">
        <v>517</v>
      </c>
      <c r="DB178" s="320">
        <f t="shared" si="39"/>
        <v>2027</v>
      </c>
      <c r="DC178" s="1031">
        <v>2035</v>
      </c>
      <c r="DD178" s="1031">
        <v>2042</v>
      </c>
      <c r="DE178" s="1031">
        <v>2049</v>
      </c>
      <c r="DF178" s="1031">
        <v>2028</v>
      </c>
      <c r="DG178" s="184"/>
      <c r="DH178" s="1019">
        <f>CX160*$DL$178</f>
        <v>402168.82117069652</v>
      </c>
      <c r="DI178" s="1019">
        <f>CY160*$DL$178</f>
        <v>804337.64234139305</v>
      </c>
      <c r="DJ178" s="1019">
        <f>CZ160*$DL$178</f>
        <v>603253.23175604467</v>
      </c>
      <c r="DK178" s="1018">
        <f>3.98264269508845*1000000</f>
        <v>3982642.6950884503</v>
      </c>
      <c r="DL178" s="1015">
        <f>DK178/1.02*1.03</f>
        <v>4021688.2117069648</v>
      </c>
      <c r="DN178" s="1098"/>
    </row>
    <row r="179" spans="1:118" ht="15" thickBot="1" x14ac:dyDescent="0.35">
      <c r="A179" s="938" t="s">
        <v>216</v>
      </c>
      <c r="B179" s="953">
        <v>0</v>
      </c>
      <c r="C179" s="953">
        <v>0</v>
      </c>
      <c r="D179" s="427"/>
      <c r="H179" s="336" t="s">
        <v>237</v>
      </c>
      <c r="I179" s="355">
        <v>68.333333333333343</v>
      </c>
      <c r="J179" s="355">
        <v>68.277777777777771</v>
      </c>
      <c r="CW179" s="1073"/>
      <c r="CX179" s="320" t="s">
        <v>466</v>
      </c>
      <c r="CY179" s="320"/>
      <c r="CZ179" s="320">
        <v>1992</v>
      </c>
      <c r="DA179" s="1090" t="s">
        <v>520</v>
      </c>
      <c r="DB179" s="320">
        <f t="shared" si="39"/>
        <v>2020</v>
      </c>
      <c r="DC179" s="1031">
        <v>2033</v>
      </c>
      <c r="DD179" s="1031">
        <v>2040</v>
      </c>
      <c r="DE179" s="1031">
        <v>2047</v>
      </c>
      <c r="DF179" s="1031">
        <f t="shared" si="40"/>
        <v>2026</v>
      </c>
      <c r="DG179" s="1037">
        <v>2053</v>
      </c>
      <c r="DH179" s="1091">
        <f>CX160*$DL$179</f>
        <v>8637652.2092264201</v>
      </c>
      <c r="DI179" s="1091">
        <f>CY160*$DL$179</f>
        <v>17275304.41845284</v>
      </c>
      <c r="DJ179" s="1091">
        <f>CZ160*$DL$179</f>
        <v>12956478.313839627</v>
      </c>
      <c r="DK179" s="1088">
        <f>85.5379150816596*1000000</f>
        <v>85537915.0816596</v>
      </c>
      <c r="DL179" s="1109">
        <f>86.3765220922642*1000000</f>
        <v>86376522.09226419</v>
      </c>
      <c r="DM179" s="457"/>
      <c r="DN179" s="1098"/>
    </row>
    <row r="180" spans="1:118" ht="15" thickBot="1" x14ac:dyDescent="0.35">
      <c r="A180" s="938" t="s">
        <v>215</v>
      </c>
      <c r="B180" s="953">
        <v>10</v>
      </c>
      <c r="C180" s="953">
        <v>10</v>
      </c>
      <c r="D180" s="427"/>
      <c r="H180" s="729" t="s">
        <v>592</v>
      </c>
      <c r="I180" s="355">
        <v>34.922222222222224</v>
      </c>
      <c r="J180" s="355">
        <v>48.388888888888886</v>
      </c>
      <c r="K180" s="730">
        <f t="shared" ref="K180:K182" si="41">I180*$P$5+J180*$P$6</f>
        <v>14268.344444444443</v>
      </c>
      <c r="CW180" s="1073"/>
      <c r="CX180" s="320" t="s">
        <v>467</v>
      </c>
      <c r="CY180" s="320"/>
      <c r="CZ180" s="320">
        <v>1973</v>
      </c>
      <c r="DA180" s="1090"/>
      <c r="DB180" s="320">
        <f t="shared" si="39"/>
        <v>2001</v>
      </c>
      <c r="DC180" s="1031">
        <v>2033</v>
      </c>
      <c r="DD180" s="1031">
        <v>2040</v>
      </c>
      <c r="DE180" s="1031">
        <v>2047</v>
      </c>
      <c r="DF180" s="1031">
        <f t="shared" si="40"/>
        <v>2026</v>
      </c>
      <c r="DG180" s="1037">
        <v>2053</v>
      </c>
      <c r="DH180" s="1092"/>
      <c r="DI180" s="1092"/>
      <c r="DJ180" s="1092"/>
      <c r="DK180" s="1089"/>
      <c r="DL180" s="1111"/>
      <c r="DN180" s="1098"/>
    </row>
    <row r="181" spans="1:118" ht="15" thickBot="1" x14ac:dyDescent="0.35">
      <c r="A181" s="945" t="s">
        <v>152</v>
      </c>
      <c r="B181" s="953">
        <v>0</v>
      </c>
      <c r="C181" s="953">
        <v>0</v>
      </c>
      <c r="D181" s="427"/>
      <c r="H181" s="729" t="s">
        <v>593</v>
      </c>
      <c r="I181" s="355">
        <v>311.33333333333331</v>
      </c>
      <c r="J181" s="355">
        <v>351.77777777777777</v>
      </c>
      <c r="K181" s="730">
        <f t="shared" si="41"/>
        <v>118206.88888888889</v>
      </c>
      <c r="CW181" s="1073"/>
      <c r="CX181" s="320" t="s">
        <v>468</v>
      </c>
      <c r="CY181" s="320"/>
      <c r="CZ181" s="320">
        <v>2012</v>
      </c>
      <c r="DA181" s="2" t="s">
        <v>519</v>
      </c>
      <c r="DB181" s="320">
        <f t="shared" si="39"/>
        <v>2040</v>
      </c>
      <c r="DC181" s="1031">
        <v>2048</v>
      </c>
      <c r="DD181" s="1031">
        <v>2027</v>
      </c>
      <c r="DE181" s="1031">
        <v>2034</v>
      </c>
      <c r="DF181" s="1031">
        <v>2041</v>
      </c>
      <c r="DH181" s="1019">
        <f>CX160*$DK$181</f>
        <v>1435561.06695047</v>
      </c>
      <c r="DI181" s="1019">
        <f>CY160*$DK$181</f>
        <v>2871122.13390094</v>
      </c>
      <c r="DJ181" s="1019">
        <f>CZ160*$DK$181</f>
        <v>2153341.6004257048</v>
      </c>
      <c r="DK181" s="1018">
        <f>14.3556106695047*1000000</f>
        <v>14355610.669504698</v>
      </c>
      <c r="DM181" s="2" t="s">
        <v>516</v>
      </c>
      <c r="DN181" s="1098"/>
    </row>
    <row r="182" spans="1:118" ht="15" thickBot="1" x14ac:dyDescent="0.35">
      <c r="A182" s="938" t="s">
        <v>153</v>
      </c>
      <c r="B182" s="953">
        <v>13</v>
      </c>
      <c r="C182" s="953">
        <v>12</v>
      </c>
      <c r="D182" s="427"/>
      <c r="H182" s="336" t="s">
        <v>594</v>
      </c>
      <c r="I182" s="355">
        <v>70.422222222222217</v>
      </c>
      <c r="J182" s="355">
        <v>86.222222222222229</v>
      </c>
      <c r="K182" s="730">
        <f t="shared" si="41"/>
        <v>27489.511111111111</v>
      </c>
      <c r="CW182" s="1073"/>
      <c r="CX182" s="320" t="s">
        <v>469</v>
      </c>
      <c r="CY182" s="320"/>
      <c r="CZ182" s="320" t="s">
        <v>470</v>
      </c>
      <c r="DA182" s="2" t="s">
        <v>518</v>
      </c>
      <c r="DB182" s="320"/>
      <c r="DC182" s="1031">
        <f>DC181</f>
        <v>2048</v>
      </c>
      <c r="DD182" s="1031">
        <f>DD181</f>
        <v>2027</v>
      </c>
      <c r="DE182" s="1031">
        <f>DE181</f>
        <v>2034</v>
      </c>
      <c r="DF182" s="1035">
        <f>DF181</f>
        <v>2041</v>
      </c>
      <c r="DH182" s="1019">
        <f>CX160*$DK$182</f>
        <v>13734000.377040399</v>
      </c>
      <c r="DI182" s="1019">
        <f>CY160*$DK$182</f>
        <v>27468000.754080798</v>
      </c>
      <c r="DJ182" s="1019">
        <f>CZ160*$DK$182</f>
        <v>20601000.565560598</v>
      </c>
      <c r="DK182" s="1018">
        <f>137.340003770404*1000000</f>
        <v>137340003.77040398</v>
      </c>
      <c r="DM182" s="457"/>
      <c r="DN182" s="1098"/>
    </row>
    <row r="183" spans="1:118" ht="20.25" customHeight="1" x14ac:dyDescent="0.3">
      <c r="A183" s="1140" t="s">
        <v>327</v>
      </c>
      <c r="B183" s="1140"/>
      <c r="C183" s="1140"/>
      <c r="D183" s="425"/>
      <c r="H183" s="35" t="s">
        <v>595</v>
      </c>
      <c r="I183" s="199"/>
      <c r="J183" s="199"/>
      <c r="K183" s="731">
        <f>SUM(K180:K182)</f>
        <v>159964.74444444446</v>
      </c>
      <c r="CW183" s="1073"/>
      <c r="CX183" s="320" t="s">
        <v>473</v>
      </c>
      <c r="CY183" s="320"/>
      <c r="CZ183" s="320">
        <v>2002</v>
      </c>
      <c r="DB183" s="320">
        <f>CZ183+1+$DA$160</f>
        <v>2030</v>
      </c>
      <c r="DC183" s="1031">
        <v>2037</v>
      </c>
      <c r="DD183" s="1031">
        <v>2044</v>
      </c>
      <c r="DE183" s="1031">
        <v>2050</v>
      </c>
      <c r="DF183" s="1031">
        <f t="shared" si="40"/>
        <v>2030</v>
      </c>
      <c r="DH183" s="1019">
        <f>CX160*$DL$183</f>
        <v>183603.04005220259</v>
      </c>
      <c r="DI183" s="1019">
        <f>CY160*$DL$183</f>
        <v>367206.08010440518</v>
      </c>
      <c r="DJ183" s="1019">
        <f>CZ160*$DL$183</f>
        <v>275404.56007830385</v>
      </c>
      <c r="DK183" s="1018">
        <f>1.81820486265288*1000000</f>
        <v>1818204.8626528799</v>
      </c>
      <c r="DL183" s="1015">
        <f>DK183/1.02*1.03</f>
        <v>1836030.4005220258</v>
      </c>
      <c r="DM183" s="457"/>
      <c r="DN183" s="1098"/>
    </row>
    <row r="184" spans="1:118" ht="15" thickBot="1" x14ac:dyDescent="0.35">
      <c r="A184" s="1076" t="s">
        <v>320</v>
      </c>
      <c r="B184" s="1076"/>
      <c r="C184" s="1076"/>
      <c r="D184" s="421"/>
      <c r="H184" s="729" t="s">
        <v>237</v>
      </c>
      <c r="I184" s="355">
        <v>176.76666666666668</v>
      </c>
      <c r="J184" s="355">
        <v>105.44444444444446</v>
      </c>
      <c r="CW184" s="1073"/>
      <c r="CX184" s="320" t="s">
        <v>474</v>
      </c>
      <c r="CY184" s="320"/>
      <c r="CZ184" s="320">
        <v>2015</v>
      </c>
      <c r="DB184" s="656">
        <f>CZ184+1+$DA$160</f>
        <v>2043</v>
      </c>
      <c r="DC184" s="1034">
        <v>2051</v>
      </c>
      <c r="DD184" s="1034">
        <v>2029</v>
      </c>
      <c r="DE184" s="1034">
        <v>2036</v>
      </c>
      <c r="DF184" s="1034">
        <f t="shared" si="40"/>
        <v>2043</v>
      </c>
      <c r="DH184" s="1019">
        <f>CX160*$DK$184</f>
        <v>91801.520026101207</v>
      </c>
      <c r="DI184" s="1019">
        <f>CY160*$DK$184</f>
        <v>183603.04005220241</v>
      </c>
      <c r="DJ184" s="1019">
        <f>CZ160*$DK$184</f>
        <v>137702.28003915181</v>
      </c>
      <c r="DK184" s="1018">
        <f>0.918015200261012*1000000</f>
        <v>918015.20026101207</v>
      </c>
      <c r="DL184" s="1012" t="s">
        <v>915</v>
      </c>
      <c r="DN184" s="1098"/>
    </row>
    <row r="185" spans="1:118" ht="15" thickBot="1" x14ac:dyDescent="0.35">
      <c r="A185" s="945" t="s">
        <v>149</v>
      </c>
      <c r="B185" s="946" t="s">
        <v>150</v>
      </c>
      <c r="C185" s="946" t="s">
        <v>151</v>
      </c>
      <c r="D185" s="211"/>
      <c r="H185" s="729" t="s">
        <v>236</v>
      </c>
      <c r="I185" s="355">
        <v>3.677777777777778</v>
      </c>
      <c r="J185" s="355">
        <v>2.9444444444444446</v>
      </c>
      <c r="K185" s="730">
        <f t="shared" ref="K185:K186" si="42">I185*$P$5+J185*$P$6</f>
        <v>1259.5222222222224</v>
      </c>
      <c r="CW185" s="1083" t="s">
        <v>447</v>
      </c>
      <c r="CX185" s="320" t="s">
        <v>528</v>
      </c>
      <c r="CY185" s="320"/>
      <c r="CZ185" s="320">
        <v>1946</v>
      </c>
      <c r="DB185" s="1011">
        <f>CZ185+1+DA161</f>
        <v>2001</v>
      </c>
      <c r="DC185" s="1032">
        <v>2040</v>
      </c>
      <c r="DD185" s="1039">
        <v>2053</v>
      </c>
      <c r="DE185" s="1011"/>
      <c r="DF185" s="1032">
        <f t="shared" si="40"/>
        <v>2026</v>
      </c>
      <c r="DG185" s="456" t="s">
        <v>506</v>
      </c>
      <c r="DH185" s="1019">
        <f>CX161*$DL$185</f>
        <v>3424489.8628896903</v>
      </c>
      <c r="DI185" s="1019">
        <f>CY161*$DL$185</f>
        <v>3424489.8628896903</v>
      </c>
      <c r="DJ185" s="320"/>
      <c r="DK185" s="1018">
        <f>(72.1122549720359*1000000)-DK186</f>
        <v>67824847.769854054</v>
      </c>
      <c r="DL185" s="1015">
        <f>DK185/1.02*1.03</f>
        <v>68489797.257793799</v>
      </c>
      <c r="DM185" s="767"/>
      <c r="DN185" s="1098">
        <f>SUM(DH185:DK186)</f>
        <v>79177706.728121519</v>
      </c>
    </row>
    <row r="186" spans="1:118" ht="15" thickBot="1" x14ac:dyDescent="0.35">
      <c r="A186" s="938"/>
      <c r="B186" s="939"/>
      <c r="C186" s="939"/>
      <c r="D186" s="211"/>
      <c r="E186" s="588"/>
      <c r="F186" s="588"/>
      <c r="G186" s="588"/>
      <c r="H186" s="729" t="s">
        <v>587</v>
      </c>
      <c r="I186" s="355">
        <v>14.355555555555558</v>
      </c>
      <c r="J186" s="355">
        <v>11.111111111111111</v>
      </c>
      <c r="K186" s="730">
        <f t="shared" si="42"/>
        <v>4873.155555555556</v>
      </c>
      <c r="CW186" s="1085"/>
      <c r="CX186" s="320" t="s">
        <v>468</v>
      </c>
      <c r="CY186" s="320"/>
      <c r="CZ186" s="320"/>
      <c r="DB186" s="320"/>
      <c r="DC186" s="1033">
        <v>2041</v>
      </c>
      <c r="DD186" s="1020"/>
      <c r="DE186" s="1010"/>
      <c r="DF186" s="1033">
        <v>2027</v>
      </c>
      <c r="DG186" s="456"/>
      <c r="DH186" s="1019">
        <f>CX161*DL186</f>
        <v>216472.03030623999</v>
      </c>
      <c r="DI186" s="1016"/>
      <c r="DJ186" s="320"/>
      <c r="DK186" s="1018">
        <f>4.28740720218184*1000000</f>
        <v>4287407.2021818403</v>
      </c>
      <c r="DL186" s="1015">
        <f>DK186/1.02*1.03</f>
        <v>4329440.6061247997</v>
      </c>
      <c r="DM186" s="457"/>
      <c r="DN186" s="1098"/>
    </row>
    <row r="187" spans="1:118" ht="15" thickBot="1" x14ac:dyDescent="0.35">
      <c r="A187" s="938" t="s">
        <v>216</v>
      </c>
      <c r="B187" s="953">
        <v>0</v>
      </c>
      <c r="C187" s="953">
        <v>0</v>
      </c>
      <c r="D187" s="427"/>
      <c r="H187" s="199"/>
      <c r="I187" s="199"/>
      <c r="J187" s="199"/>
      <c r="K187" s="731">
        <f>SUM(K185:K186)</f>
        <v>6132.6777777777788</v>
      </c>
      <c r="CW187" s="1083" t="s">
        <v>437</v>
      </c>
      <c r="CX187" s="320" t="s">
        <v>476</v>
      </c>
      <c r="CY187" s="320"/>
      <c r="CZ187" s="320">
        <v>1948</v>
      </c>
      <c r="DB187" s="320">
        <f>CZ187+1+$DA$162</f>
        <v>2009</v>
      </c>
      <c r="DC187" s="1033">
        <v>2046</v>
      </c>
      <c r="DD187" s="1010"/>
      <c r="DE187" s="1010"/>
      <c r="DF187" s="1033">
        <v>2030</v>
      </c>
      <c r="DG187" s="1040">
        <f t="shared" ref="DG187:DG195" si="43">IF(DB187&lt;2021,2021,DB187)</f>
        <v>2021</v>
      </c>
      <c r="DH187" s="1019">
        <f>$CX$162*DL187</f>
        <v>324584.65541104181</v>
      </c>
      <c r="DI187" s="320"/>
      <c r="DJ187" s="320"/>
      <c r="DK187" s="1018">
        <f>(5.07526339068875+1.35340357085033)*1000000</f>
        <v>6428666.9615390804</v>
      </c>
      <c r="DL187" s="1015">
        <f>DK187/1.02*1.03</f>
        <v>6491693.1082208361</v>
      </c>
      <c r="DN187" s="1099">
        <f>SUM(DH187:DK196)</f>
        <v>342502131.78375655</v>
      </c>
    </row>
    <row r="188" spans="1:118" ht="15" thickBot="1" x14ac:dyDescent="0.35">
      <c r="A188" s="938" t="s">
        <v>215</v>
      </c>
      <c r="B188" s="953">
        <v>8</v>
      </c>
      <c r="C188" s="953">
        <v>8</v>
      </c>
      <c r="D188" s="427"/>
      <c r="H188" s="352" t="s">
        <v>309</v>
      </c>
      <c r="I188" s="199"/>
      <c r="J188" s="199"/>
      <c r="CU188" s="585"/>
      <c r="CV188" s="2" t="s">
        <v>507</v>
      </c>
      <c r="CW188" s="1084"/>
      <c r="CX188" s="320" t="s">
        <v>477</v>
      </c>
      <c r="CY188" s="320"/>
      <c r="CZ188" s="320">
        <v>1947</v>
      </c>
      <c r="DB188" s="320">
        <f t="shared" ref="DB188:DB195" si="44">CZ188+1+$DA$162</f>
        <v>2008</v>
      </c>
      <c r="DC188" s="1033">
        <v>2046</v>
      </c>
      <c r="DD188" s="1010"/>
      <c r="DE188" s="1010"/>
      <c r="DF188" s="1033">
        <v>2030</v>
      </c>
      <c r="DG188" s="1040">
        <f t="shared" si="43"/>
        <v>2021</v>
      </c>
      <c r="DH188" s="1019">
        <f>$CX$162*DL188</f>
        <v>1230803.3665946776</v>
      </c>
      <c r="DI188" s="320"/>
      <c r="DJ188" s="320"/>
      <c r="DK188" s="1018">
        <f>(19.2450603054661+5.13201608145761)*1000000</f>
        <v>24377076.386923712</v>
      </c>
      <c r="DL188" s="1015">
        <f>DK188/1.02*1.03</f>
        <v>24616067.331893552</v>
      </c>
      <c r="DN188" s="1099"/>
    </row>
    <row r="189" spans="1:118" ht="15" thickBot="1" x14ac:dyDescent="0.35">
      <c r="A189" s="945" t="s">
        <v>152</v>
      </c>
      <c r="B189" s="953">
        <v>0</v>
      </c>
      <c r="C189" s="953">
        <v>0</v>
      </c>
      <c r="D189" s="427"/>
      <c r="H189" s="35" t="s">
        <v>596</v>
      </c>
      <c r="I189" s="353" t="s">
        <v>305</v>
      </c>
      <c r="J189" s="353" t="s">
        <v>591</v>
      </c>
      <c r="CW189" s="1084"/>
      <c r="CX189" s="320" t="s">
        <v>479</v>
      </c>
      <c r="CY189" s="320"/>
      <c r="CZ189" s="320">
        <v>1969</v>
      </c>
      <c r="DA189" s="2" t="s">
        <v>485</v>
      </c>
      <c r="DB189" s="320">
        <f t="shared" si="44"/>
        <v>2030</v>
      </c>
      <c r="DC189" s="1033">
        <v>2051</v>
      </c>
      <c r="DD189" s="1010"/>
      <c r="DE189" s="1010"/>
      <c r="DF189" s="1033">
        <v>2035</v>
      </c>
      <c r="DG189" s="1040">
        <f t="shared" si="43"/>
        <v>2030</v>
      </c>
      <c r="DH189" s="1019">
        <f>$CX$162*DK189</f>
        <v>1179298.9795617897</v>
      </c>
      <c r="DI189" s="320"/>
      <c r="DJ189" s="320"/>
      <c r="DK189" s="1018">
        <f>(18.6205102036072+4.96546938762859)*1000000</f>
        <v>23585979.59123579</v>
      </c>
      <c r="DL189" s="457"/>
      <c r="DN189" s="1099"/>
    </row>
    <row r="190" spans="1:118" ht="15" thickBot="1" x14ac:dyDescent="0.35">
      <c r="A190" s="938" t="s">
        <v>153</v>
      </c>
      <c r="B190" s="953">
        <f>(8+9)/2</f>
        <v>8.5</v>
      </c>
      <c r="C190" s="953">
        <f>(9+10)/2</f>
        <v>9.5</v>
      </c>
      <c r="D190" s="427"/>
      <c r="H190" s="336" t="s">
        <v>237</v>
      </c>
      <c r="I190" s="355">
        <v>554.81111111111113</v>
      </c>
      <c r="J190" s="355">
        <v>407.5</v>
      </c>
      <c r="CW190" s="1084"/>
      <c r="CX190" s="320" t="s">
        <v>478</v>
      </c>
      <c r="CY190" s="320"/>
      <c r="CZ190" s="320">
        <v>1952</v>
      </c>
      <c r="DB190" s="320">
        <f t="shared" si="44"/>
        <v>2013</v>
      </c>
      <c r="DC190" s="1033">
        <v>2051</v>
      </c>
      <c r="DD190" s="1010"/>
      <c r="DE190" s="1010"/>
      <c r="DF190" s="1033">
        <v>2035</v>
      </c>
      <c r="DG190" s="1040">
        <f t="shared" si="43"/>
        <v>2021</v>
      </c>
      <c r="DH190" s="1019">
        <f>$CX$162*DK190</f>
        <v>1541437.5398835668</v>
      </c>
      <c r="DI190" s="320"/>
      <c r="DJ190" s="320"/>
      <c r="DK190" s="1018">
        <f>(28.5911801752597+2.23757062241163)*1000000</f>
        <v>30828750.797671333</v>
      </c>
      <c r="DL190" s="457"/>
      <c r="DN190" s="1099"/>
    </row>
    <row r="191" spans="1:118" ht="17.25" customHeight="1" x14ac:dyDescent="0.3">
      <c r="A191" s="1140" t="s">
        <v>327</v>
      </c>
      <c r="B191" s="1140"/>
      <c r="C191" s="1140"/>
      <c r="D191" s="425"/>
      <c r="H191" s="729" t="s">
        <v>597</v>
      </c>
      <c r="I191" s="355">
        <v>2.8</v>
      </c>
      <c r="J191" s="355">
        <v>5.1111111111111107</v>
      </c>
      <c r="K191" s="730">
        <f t="shared" ref="K191:K194" si="45">I191*$P$5+J191*$P$6</f>
        <v>1283.1555555555556</v>
      </c>
      <c r="CW191" s="1084"/>
      <c r="CX191" s="320" t="s">
        <v>480</v>
      </c>
      <c r="CY191" s="320"/>
      <c r="CZ191" s="320">
        <v>1941</v>
      </c>
      <c r="DB191" s="320">
        <f t="shared" si="44"/>
        <v>2002</v>
      </c>
      <c r="DC191" s="1010"/>
      <c r="DD191" s="1010"/>
      <c r="DE191" s="1033">
        <v>2029</v>
      </c>
      <c r="DF191" s="1033">
        <v>2045</v>
      </c>
      <c r="DG191" s="1040">
        <f t="shared" si="43"/>
        <v>2021</v>
      </c>
      <c r="DH191" s="320"/>
      <c r="DI191" s="320"/>
      <c r="DJ191" s="1091">
        <f>CZ162*DK191</f>
        <v>250957.65054258655</v>
      </c>
      <c r="DK191" s="1088">
        <f>(3.96248921909347+1.05666379175826)*1000000</f>
        <v>5019153.0108517306</v>
      </c>
      <c r="DN191" s="1099"/>
    </row>
    <row r="192" spans="1:118" ht="15" thickBot="1" x14ac:dyDescent="0.35">
      <c r="A192" s="1076" t="s">
        <v>323</v>
      </c>
      <c r="B192" s="1076"/>
      <c r="C192" s="1076"/>
      <c r="D192" s="421"/>
      <c r="H192" s="729" t="s">
        <v>598</v>
      </c>
      <c r="I192" s="355">
        <v>7.6888888888888882</v>
      </c>
      <c r="J192" s="355">
        <v>6.6666666666666661</v>
      </c>
      <c r="K192" s="730">
        <f t="shared" si="45"/>
        <v>2690.9333333333334</v>
      </c>
      <c r="CW192" s="1084"/>
      <c r="CX192" s="320" t="s">
        <v>481</v>
      </c>
      <c r="CY192" s="320"/>
      <c r="CZ192" s="320">
        <v>1941</v>
      </c>
      <c r="DB192" s="320">
        <f t="shared" si="44"/>
        <v>2002</v>
      </c>
      <c r="DC192" s="1010"/>
      <c r="DD192" s="1010"/>
      <c r="DE192" s="1033">
        <v>2029</v>
      </c>
      <c r="DF192" s="1033">
        <v>2045</v>
      </c>
      <c r="DG192" s="1040">
        <f t="shared" si="43"/>
        <v>2021</v>
      </c>
      <c r="DH192" s="320"/>
      <c r="DI192" s="320"/>
      <c r="DJ192" s="1092"/>
      <c r="DK192" s="1089"/>
      <c r="DN192" s="1099"/>
    </row>
    <row r="193" spans="1:118" ht="15" thickBot="1" x14ac:dyDescent="0.35">
      <c r="A193" s="945" t="s">
        <v>149</v>
      </c>
      <c r="B193" s="946" t="s">
        <v>150</v>
      </c>
      <c r="C193" s="946" t="s">
        <v>151</v>
      </c>
      <c r="D193" s="211"/>
      <c r="H193" s="336" t="s">
        <v>599</v>
      </c>
      <c r="I193" s="355">
        <v>7.0111111111111111</v>
      </c>
      <c r="J193" s="355">
        <v>4.5</v>
      </c>
      <c r="K193" s="730">
        <f t="shared" si="45"/>
        <v>2275.3000000000002</v>
      </c>
      <c r="CW193" s="1084"/>
      <c r="CX193" s="320" t="s">
        <v>482</v>
      </c>
      <c r="CY193" s="320"/>
      <c r="CZ193" s="320">
        <v>1950</v>
      </c>
      <c r="DB193" s="320">
        <f t="shared" si="44"/>
        <v>2011</v>
      </c>
      <c r="DC193" s="1033">
        <v>2051</v>
      </c>
      <c r="DD193" s="1010"/>
      <c r="DE193" s="1010"/>
      <c r="DF193" s="1033">
        <v>2035</v>
      </c>
      <c r="DG193" s="1040">
        <f t="shared" si="43"/>
        <v>2021</v>
      </c>
      <c r="DH193" s="1019">
        <f>$CX$162*DK193</f>
        <v>10701681.795845611</v>
      </c>
      <c r="DI193" s="320"/>
      <c r="DJ193" s="320"/>
      <c r="DK193" s="1018">
        <f>(176.810394887884+37.2232410290282)*1000000</f>
        <v>214033635.9169122</v>
      </c>
      <c r="DL193" s="457"/>
      <c r="DN193" s="1099"/>
    </row>
    <row r="194" spans="1:118" ht="15" thickBot="1" x14ac:dyDescent="0.35">
      <c r="A194" s="938" t="s">
        <v>216</v>
      </c>
      <c r="B194" s="953">
        <v>0</v>
      </c>
      <c r="C194" s="953">
        <v>0</v>
      </c>
      <c r="D194" s="427"/>
      <c r="H194" s="336" t="s">
        <v>600</v>
      </c>
      <c r="I194" s="355">
        <v>17.755555555555553</v>
      </c>
      <c r="J194" s="355">
        <v>17.111111111111111</v>
      </c>
      <c r="K194" s="730">
        <f t="shared" si="45"/>
        <v>6407.9555555555553</v>
      </c>
      <c r="CW194" s="1084"/>
      <c r="CX194" s="320" t="s">
        <v>483</v>
      </c>
      <c r="CY194" s="320"/>
      <c r="CZ194" s="320">
        <v>1941</v>
      </c>
      <c r="DB194" s="320">
        <f t="shared" si="44"/>
        <v>2002</v>
      </c>
      <c r="DC194" s="1033">
        <v>2046</v>
      </c>
      <c r="DD194" s="1010"/>
      <c r="DE194" s="1010"/>
      <c r="DF194" s="1033">
        <v>2030</v>
      </c>
      <c r="DG194" s="1040">
        <f t="shared" si="43"/>
        <v>2021</v>
      </c>
      <c r="DH194" s="1019">
        <f>$CX$162*DL194</f>
        <v>153070.31374181656</v>
      </c>
      <c r="DI194" s="320"/>
      <c r="DJ194" s="320"/>
      <c r="DK194" s="1018">
        <f>(2.82957162489727+0.202112258921233)*1000000</f>
        <v>3031683.883818503</v>
      </c>
      <c r="DL194" s="1015">
        <f>DK194/1.02*1.03</f>
        <v>3061406.2748363311</v>
      </c>
      <c r="DN194" s="1099"/>
    </row>
    <row r="195" spans="1:118" ht="14.4" thickBot="1" x14ac:dyDescent="0.3">
      <c r="A195" s="938" t="s">
        <v>215</v>
      </c>
      <c r="B195" s="953">
        <v>8</v>
      </c>
      <c r="C195" s="953">
        <v>8</v>
      </c>
      <c r="D195" s="427"/>
      <c r="K195" s="731">
        <f>SUM(K191:K194)</f>
        <v>12657.344444444443</v>
      </c>
      <c r="CW195" s="1084"/>
      <c r="CX195" s="320" t="s">
        <v>484</v>
      </c>
      <c r="CY195" s="320"/>
      <c r="CZ195" s="320">
        <v>1955</v>
      </c>
      <c r="DB195" s="320">
        <f t="shared" si="44"/>
        <v>2016</v>
      </c>
      <c r="DC195" s="1033">
        <v>2051</v>
      </c>
      <c r="DD195" s="1010"/>
      <c r="DE195" s="1010"/>
      <c r="DF195" s="1033">
        <v>2035</v>
      </c>
      <c r="DG195" s="1040">
        <f t="shared" si="43"/>
        <v>2021</v>
      </c>
      <c r="DH195" s="1019">
        <f>$CX$162*DK195</f>
        <v>29836.008720495967</v>
      </c>
      <c r="DI195" s="320"/>
      <c r="DJ195" s="320"/>
      <c r="DK195" s="1018">
        <f>(0.556938829449258+0.0397813449606613)*1000000</f>
        <v>596720.1744099193</v>
      </c>
      <c r="DM195" s="457"/>
      <c r="DN195" s="1099"/>
    </row>
    <row r="196" spans="1:118" ht="14.4" thickBot="1" x14ac:dyDescent="0.3">
      <c r="A196" s="938"/>
      <c r="B196" s="953"/>
      <c r="C196" s="953"/>
      <c r="D196" s="763"/>
      <c r="E196" s="764"/>
      <c r="F196" s="764"/>
      <c r="G196" s="764"/>
      <c r="H196" s="764"/>
      <c r="I196" s="764"/>
      <c r="K196" s="766"/>
      <c r="CW196" s="1085"/>
      <c r="CX196" s="1079" t="s">
        <v>622</v>
      </c>
      <c r="CY196" s="1080"/>
      <c r="CZ196" s="320" t="s">
        <v>470</v>
      </c>
      <c r="DB196" s="320"/>
      <c r="DC196" s="1033">
        <v>2051</v>
      </c>
      <c r="DD196" s="320"/>
      <c r="DE196" s="320"/>
      <c r="DF196" s="1033">
        <v>2035</v>
      </c>
      <c r="DG196" s="357"/>
      <c r="DH196" s="1019">
        <f>$CX$162*DK196</f>
        <v>913752.1309567946</v>
      </c>
      <c r="DI196" s="320"/>
      <c r="DJ196" s="320"/>
      <c r="DK196" s="1018">
        <f>(13.2427845066202+5.03225811251569)*1000000</f>
        <v>18275042.61913589</v>
      </c>
      <c r="DN196" s="1099"/>
    </row>
    <row r="197" spans="1:118" ht="14.4" thickBot="1" x14ac:dyDescent="0.3">
      <c r="A197" s="945" t="s">
        <v>152</v>
      </c>
      <c r="B197" s="953">
        <v>0</v>
      </c>
      <c r="C197" s="953">
        <v>0</v>
      </c>
      <c r="D197" s="427"/>
      <c r="M197" s="2" t="s">
        <v>881</v>
      </c>
      <c r="CW197" s="580" t="s">
        <v>438</v>
      </c>
      <c r="CX197" s="593" t="s">
        <v>475</v>
      </c>
      <c r="CY197" s="320"/>
      <c r="CZ197" s="320" t="s">
        <v>470</v>
      </c>
      <c r="DB197" s="320"/>
      <c r="DC197" s="1031">
        <v>2035</v>
      </c>
      <c r="DD197" s="1031">
        <v>2040</v>
      </c>
      <c r="DE197" s="1031">
        <v>2045</v>
      </c>
      <c r="DF197" s="1031">
        <v>2030</v>
      </c>
      <c r="DG197" s="1036">
        <v>2050</v>
      </c>
      <c r="DH197" s="1019">
        <f>CX163*$DL$197</f>
        <v>81900.861602964083</v>
      </c>
      <c r="DI197" s="1019">
        <f>CY163*$DL$197</f>
        <v>204752.15400741022</v>
      </c>
      <c r="DJ197" s="1019">
        <f>CZ163*$DL$197</f>
        <v>122851.29240444613</v>
      </c>
      <c r="DK197" s="1018">
        <f>4.05528538034094*1000000</f>
        <v>4055285.3803409399</v>
      </c>
      <c r="DL197" s="1023">
        <f>DK197/1.02*1.03</f>
        <v>4095043.0801482042</v>
      </c>
      <c r="DN197" s="457">
        <f>SUM(DH197:DL197)</f>
        <v>8559832.7685039639</v>
      </c>
    </row>
    <row r="198" spans="1:118" ht="14.4" thickBot="1" x14ac:dyDescent="0.3">
      <c r="A198" s="938" t="s">
        <v>153</v>
      </c>
      <c r="B198" s="953">
        <v>8</v>
      </c>
      <c r="C198" s="953">
        <v>8</v>
      </c>
      <c r="D198" s="427"/>
      <c r="K198" s="128" t="s">
        <v>877</v>
      </c>
      <c r="L198" s="730">
        <f>I40/(B6+E6)</f>
        <v>174.88647273425497</v>
      </c>
      <c r="M198" s="990">
        <f>CEILING(L198/50,1)</f>
        <v>4</v>
      </c>
      <c r="N198" s="1102" t="s">
        <v>882</v>
      </c>
      <c r="CW198" s="1083" t="s">
        <v>448</v>
      </c>
      <c r="CX198" s="320" t="s">
        <v>471</v>
      </c>
      <c r="CY198" s="320"/>
      <c r="CZ198" s="320">
        <v>1965</v>
      </c>
      <c r="DB198" s="320">
        <f>CZ198+1+$DA$164</f>
        <v>2016</v>
      </c>
      <c r="DC198" s="1031">
        <v>2039</v>
      </c>
      <c r="DD198" s="1031">
        <v>2052</v>
      </c>
      <c r="DE198" s="320"/>
      <c r="DF198" s="1031">
        <f t="shared" ref="DF198:DF199" si="46">IF(DB198&lt;2026,2026,DB198)</f>
        <v>2026</v>
      </c>
      <c r="DH198" s="1019">
        <f>CX164*$DL$198</f>
        <v>5311373.6586529994</v>
      </c>
      <c r="DI198" s="1019">
        <f>CY164*$DL$198</f>
        <v>10622747.317305999</v>
      </c>
      <c r="DJ198" s="320" t="s">
        <v>122</v>
      </c>
      <c r="DK198" s="1018">
        <f>(3.89615327711331+31.1692262169065)*1000000</f>
        <v>35065379.494019806</v>
      </c>
      <c r="DL198" s="1015">
        <f>DK198/1.02*1.03</f>
        <v>35409157.724353328</v>
      </c>
      <c r="DM198" s="2" t="s">
        <v>512</v>
      </c>
      <c r="DN198" s="1100">
        <f>SUM(DH198:DI199,DK198:DK199,DH200:DJ200)</f>
        <v>139917133.98249871</v>
      </c>
    </row>
    <row r="199" spans="1:118" ht="17.25" customHeight="1" x14ac:dyDescent="0.25">
      <c r="A199" s="1140" t="s">
        <v>327</v>
      </c>
      <c r="B199" s="1140"/>
      <c r="C199" s="1140"/>
      <c r="D199" s="425"/>
      <c r="K199" s="128" t="s">
        <v>878</v>
      </c>
      <c r="L199" s="730">
        <f>I42/(B15+E15)</f>
        <v>52.15837813620071</v>
      </c>
      <c r="M199" s="990">
        <f t="shared" ref="M199:M202" si="47">CEILING(L199/50,1)</f>
        <v>2</v>
      </c>
      <c r="N199" s="1102"/>
      <c r="CW199" s="1084"/>
      <c r="CX199" s="320" t="s">
        <v>472</v>
      </c>
      <c r="CY199" s="320"/>
      <c r="CZ199" s="320">
        <v>1965</v>
      </c>
      <c r="DB199" s="320">
        <f>CZ199+1+$DA$164</f>
        <v>2016</v>
      </c>
      <c r="DC199" s="1031">
        <v>2039</v>
      </c>
      <c r="DD199" s="1031">
        <v>2052</v>
      </c>
      <c r="DE199" s="320"/>
      <c r="DF199" s="1031">
        <f t="shared" si="46"/>
        <v>2026</v>
      </c>
      <c r="DH199" s="1019">
        <f>CX164*$DL$199</f>
        <v>5252772.5087596597</v>
      </c>
      <c r="DI199" s="1019">
        <f>CY164*$DL$199</f>
        <v>10505545.017519319</v>
      </c>
      <c r="DJ199" s="320" t="s">
        <v>122</v>
      </c>
      <c r="DK199" s="1018">
        <f>34.6784981160832*1000000</f>
        <v>34678498.116083197</v>
      </c>
      <c r="DL199" s="1015">
        <f>DK199/1.02*1.03</f>
        <v>35018483.391731068</v>
      </c>
      <c r="DN199" s="1100"/>
    </row>
    <row r="200" spans="1:118" ht="17.25" customHeight="1" x14ac:dyDescent="0.25">
      <c r="A200" s="957"/>
      <c r="B200" s="957"/>
      <c r="C200" s="957"/>
      <c r="D200" s="582"/>
      <c r="E200" s="581"/>
      <c r="F200" s="581"/>
      <c r="G200" s="581"/>
      <c r="H200" s="581"/>
      <c r="I200" s="581"/>
      <c r="K200" s="128" t="s">
        <v>879</v>
      </c>
      <c r="L200" s="730">
        <f>I41/(B7+B8+E7+E8)</f>
        <v>22.11720817852893</v>
      </c>
      <c r="M200" s="990">
        <f t="shared" si="47"/>
        <v>1</v>
      </c>
      <c r="N200" s="1102" t="s">
        <v>884</v>
      </c>
      <c r="CW200" s="1085"/>
      <c r="CX200" s="320" t="s">
        <v>524</v>
      </c>
      <c r="CY200" s="320" t="s">
        <v>916</v>
      </c>
      <c r="CZ200" s="320" t="s">
        <v>525</v>
      </c>
      <c r="DA200" s="2" t="s">
        <v>526</v>
      </c>
      <c r="DB200" s="320">
        <v>2058</v>
      </c>
      <c r="DC200" s="595"/>
      <c r="DD200" s="1031">
        <v>2034</v>
      </c>
      <c r="DE200" s="1031">
        <v>2046</v>
      </c>
      <c r="DF200" s="589"/>
      <c r="DH200" s="1016"/>
      <c r="DI200" s="1019">
        <f>CY164*$DK$200</f>
        <v>25653878.580105137</v>
      </c>
      <c r="DJ200" s="1019">
        <f>CZ164*$DK$200</f>
        <v>12826939.290052569</v>
      </c>
      <c r="DK200" s="1017">
        <f>(81.6608687850785+3.85205981527194)*1000000</f>
        <v>85512928.600350454</v>
      </c>
      <c r="DL200" s="457"/>
      <c r="DN200" s="1100"/>
    </row>
    <row r="201" spans="1:118" ht="14.4" thickBot="1" x14ac:dyDescent="0.3">
      <c r="A201" s="1076" t="s">
        <v>324</v>
      </c>
      <c r="B201" s="1076"/>
      <c r="C201" s="1076"/>
      <c r="D201" s="421"/>
      <c r="K201" s="128" t="s">
        <v>880</v>
      </c>
      <c r="L201" s="730">
        <f>I43/(B16+E16)</f>
        <v>48.641925567791802</v>
      </c>
      <c r="M201" s="990">
        <f t="shared" si="47"/>
        <v>1</v>
      </c>
      <c r="N201" s="1102"/>
      <c r="CW201" s="580" t="s">
        <v>439</v>
      </c>
      <c r="CX201" s="320"/>
      <c r="CY201" s="320"/>
      <c r="CZ201" s="320">
        <v>1968</v>
      </c>
      <c r="DB201" s="320">
        <f>CZ201+1+DA165</f>
        <v>1994</v>
      </c>
      <c r="DC201" s="1031">
        <v>2033</v>
      </c>
      <c r="DD201" s="1031">
        <v>2039</v>
      </c>
      <c r="DE201" s="1031">
        <v>2045</v>
      </c>
      <c r="DF201" s="1031">
        <f t="shared" ref="DF201:DF207" si="48">IF(DB201&lt;2026,2026,DB201)</f>
        <v>2026</v>
      </c>
      <c r="DG201" s="1036">
        <v>2052</v>
      </c>
      <c r="DH201" s="1019">
        <f>CX165*$DL$201</f>
        <v>17104690.58639466</v>
      </c>
      <c r="DI201" s="1019">
        <f>CY165*$DL$201</f>
        <v>42761726.465986647</v>
      </c>
      <c r="DJ201" s="1019">
        <f>CZ165*$DL$201</f>
        <v>25657035.879591987</v>
      </c>
      <c r="DK201" s="1018">
        <f>(165.773645195451+1.98389709418892)*1000000</f>
        <v>167757542.28963992</v>
      </c>
      <c r="DL201" s="1023">
        <f>DK201/1.02*1.04</f>
        <v>171046905.86394659</v>
      </c>
      <c r="DM201" s="2" t="s">
        <v>510</v>
      </c>
      <c r="DN201" s="457">
        <f>SUM(DH201:DL201)</f>
        <v>424327901.08555984</v>
      </c>
    </row>
    <row r="202" spans="1:118" ht="14.4" thickBot="1" x14ac:dyDescent="0.3">
      <c r="A202" s="945" t="s">
        <v>149</v>
      </c>
      <c r="B202" s="946" t="s">
        <v>150</v>
      </c>
      <c r="C202" s="946" t="s">
        <v>151</v>
      </c>
      <c r="D202" s="211"/>
      <c r="K202" s="993" t="s">
        <v>883</v>
      </c>
      <c r="L202" s="730">
        <f>M73/SUM(B21:B22,E21:E22)</f>
        <v>35.874658549343252</v>
      </c>
      <c r="M202" s="992">
        <f t="shared" si="47"/>
        <v>1</v>
      </c>
      <c r="N202" s="992" t="s">
        <v>884</v>
      </c>
      <c r="CW202" s="1073" t="s">
        <v>440</v>
      </c>
      <c r="CX202" s="320" t="s">
        <v>497</v>
      </c>
      <c r="CY202" s="320"/>
      <c r="CZ202" s="320">
        <v>2016</v>
      </c>
      <c r="DB202" s="320">
        <f>CZ202+1+DA166</f>
        <v>2042</v>
      </c>
      <c r="DC202" s="1031">
        <v>2049</v>
      </c>
      <c r="DD202" s="1031">
        <v>2030</v>
      </c>
      <c r="DE202" s="1031">
        <v>2036</v>
      </c>
      <c r="DF202" s="1031">
        <f t="shared" si="48"/>
        <v>2042</v>
      </c>
      <c r="DG202" s="1038" t="s">
        <v>911</v>
      </c>
      <c r="DH202" s="1019">
        <f>CX166*$DK$202</f>
        <v>6348376.6614055205</v>
      </c>
      <c r="DI202" s="1019">
        <f>CY166*$DK$202</f>
        <v>15870941.6535138</v>
      </c>
      <c r="DJ202" s="1019">
        <f>CZ166*$DK$202</f>
        <v>9522564.9921082798</v>
      </c>
      <c r="DK202" s="1018">
        <f>63.4837666140552*1000000</f>
        <v>63483766.614055201</v>
      </c>
      <c r="DL202" s="1025">
        <f>DI202</f>
        <v>15870941.6535138</v>
      </c>
      <c r="DM202" s="184"/>
      <c r="DN202" s="1098">
        <f>SUM(DH202:DL206)</f>
        <v>280469996.56617939</v>
      </c>
    </row>
    <row r="203" spans="1:118" ht="14.4" thickBot="1" x14ac:dyDescent="0.3">
      <c r="A203" s="938" t="s">
        <v>216</v>
      </c>
      <c r="B203" s="953">
        <v>0</v>
      </c>
      <c r="C203" s="953">
        <v>0</v>
      </c>
      <c r="D203" s="427"/>
      <c r="CW203" s="1073"/>
      <c r="CX203" s="320" t="s">
        <v>501</v>
      </c>
      <c r="CY203" s="320"/>
      <c r="CZ203" s="320">
        <v>1975</v>
      </c>
      <c r="DA203" s="2" t="s">
        <v>502</v>
      </c>
      <c r="DB203" s="320">
        <f>CZ203+1+DA167</f>
        <v>2001</v>
      </c>
      <c r="DC203" s="1031">
        <v>2033</v>
      </c>
      <c r="DD203" s="1031">
        <v>2039</v>
      </c>
      <c r="DE203" s="1031">
        <v>2045</v>
      </c>
      <c r="DF203" s="1031">
        <f t="shared" si="48"/>
        <v>2026</v>
      </c>
      <c r="DG203" s="1036">
        <v>2052</v>
      </c>
      <c r="DH203" s="1019">
        <f>CX166*$DL$203</f>
        <v>1376857.0055372305</v>
      </c>
      <c r="DI203" s="1019">
        <f>CY166*$DL$203</f>
        <v>3442142.5138430758</v>
      </c>
      <c r="DJ203" s="1019">
        <f>CZ166*$DL$203</f>
        <v>2065285.5083058453</v>
      </c>
      <c r="DK203" s="1018">
        <f>13.2490013740375*1000000</f>
        <v>13249001.374037499</v>
      </c>
      <c r="DL203" s="1023">
        <f>DK203/1.02*1.06</f>
        <v>13768570.055372303</v>
      </c>
      <c r="DM203" s="461" t="s">
        <v>509</v>
      </c>
      <c r="DN203" s="1101"/>
    </row>
    <row r="204" spans="1:118" ht="14.4" thickBot="1" x14ac:dyDescent="0.3">
      <c r="A204" s="938" t="s">
        <v>215</v>
      </c>
      <c r="B204" s="953">
        <v>0</v>
      </c>
      <c r="C204" s="953">
        <v>0</v>
      </c>
      <c r="D204" s="427"/>
      <c r="CW204" s="1073" t="s">
        <v>441</v>
      </c>
      <c r="CX204" s="320" t="s">
        <v>498</v>
      </c>
      <c r="CY204" s="320"/>
      <c r="CZ204" s="320">
        <v>1976</v>
      </c>
      <c r="DB204" s="320">
        <f>CZ204+1+$DA$167</f>
        <v>2002</v>
      </c>
      <c r="DC204" s="1031">
        <v>2033</v>
      </c>
      <c r="DD204" s="1031">
        <v>2039</v>
      </c>
      <c r="DE204" s="1031">
        <v>2045</v>
      </c>
      <c r="DF204" s="1031">
        <f t="shared" si="48"/>
        <v>2026</v>
      </c>
      <c r="DG204" s="1036">
        <v>2052</v>
      </c>
      <c r="DH204" s="1019">
        <f>CX167*$DL$204</f>
        <v>478364.16420559568</v>
      </c>
      <c r="DI204" s="1019">
        <f>CY167*$DL$204</f>
        <v>1195910.4105139892</v>
      </c>
      <c r="DJ204" s="1019">
        <f>CZ167*$DL$204</f>
        <v>717546.24630839343</v>
      </c>
      <c r="DK204" s="1018">
        <f>4.69164853355488*1000000</f>
        <v>4691648.5335548799</v>
      </c>
      <c r="DL204" s="1023">
        <f>DK204/1.02*1.04</f>
        <v>4783641.6420559566</v>
      </c>
      <c r="DM204" s="184"/>
      <c r="DN204" s="1101"/>
    </row>
    <row r="205" spans="1:118" ht="14.4" thickBot="1" x14ac:dyDescent="0.3">
      <c r="A205" s="945" t="s">
        <v>152</v>
      </c>
      <c r="B205" s="953">
        <v>0</v>
      </c>
      <c r="C205" s="953">
        <v>0</v>
      </c>
      <c r="D205" s="427"/>
      <c r="CW205" s="1073"/>
      <c r="CX205" s="320" t="s">
        <v>499</v>
      </c>
      <c r="CY205" s="320"/>
      <c r="CZ205" s="320">
        <v>1980</v>
      </c>
      <c r="DA205" s="2" t="s">
        <v>500</v>
      </c>
      <c r="DB205" s="320">
        <f>CZ205+1+$DA$167</f>
        <v>2006</v>
      </c>
      <c r="DC205" s="1031">
        <v>2033</v>
      </c>
      <c r="DD205" s="1031">
        <v>2039</v>
      </c>
      <c r="DE205" s="1031">
        <v>2045</v>
      </c>
      <c r="DF205" s="1031">
        <f t="shared" si="48"/>
        <v>2026</v>
      </c>
      <c r="DG205" s="1036">
        <v>2052</v>
      </c>
      <c r="DH205" s="1019">
        <f>CX167*$DL$205</f>
        <v>1332585.8860013015</v>
      </c>
      <c r="DI205" s="1019">
        <f>CY167*$DL$205</f>
        <v>3331464.7150032534</v>
      </c>
      <c r="DJ205" s="1019">
        <f>CZ167*$DL$205</f>
        <v>1998878.829001952</v>
      </c>
      <c r="DK205" s="1018">
        <f>13.0695923434743*1000000</f>
        <v>13069592.343474301</v>
      </c>
      <c r="DL205" s="1023">
        <f>DK205/1.02*1.04</f>
        <v>13325858.860013014</v>
      </c>
      <c r="DN205" s="1101"/>
    </row>
    <row r="206" spans="1:118" ht="14.4" thickBot="1" x14ac:dyDescent="0.3">
      <c r="A206" s="938" t="s">
        <v>153</v>
      </c>
      <c r="B206" s="953">
        <v>16</v>
      </c>
      <c r="C206" s="953">
        <v>16</v>
      </c>
      <c r="D206" s="427"/>
      <c r="CW206" s="1073"/>
      <c r="CX206" s="320" t="s">
        <v>503</v>
      </c>
      <c r="CY206" s="320"/>
      <c r="CZ206" s="320">
        <v>1989</v>
      </c>
      <c r="DA206" s="2" t="s">
        <v>504</v>
      </c>
      <c r="DB206" s="320">
        <f>CZ206+1+$DA$167</f>
        <v>2015</v>
      </c>
      <c r="DC206" s="1031">
        <v>2033</v>
      </c>
      <c r="DD206" s="1031">
        <v>2039</v>
      </c>
      <c r="DE206" s="1031">
        <v>2045</v>
      </c>
      <c r="DF206" s="1031">
        <f t="shared" si="48"/>
        <v>2026</v>
      </c>
      <c r="DG206" s="1036">
        <v>2052</v>
      </c>
      <c r="DH206" s="1019">
        <f>CX167*$DL$206</f>
        <v>3649918.5728886984</v>
      </c>
      <c r="DI206" s="1019">
        <f>CY167*$DL$206</f>
        <v>9124796.4322217461</v>
      </c>
      <c r="DJ206" s="1019">
        <f>CZ167*$DL$206</f>
        <v>5474877.8593330476</v>
      </c>
      <c r="DK206" s="1018">
        <f>(17.158028922715+18.096358629426+0.542890758882779)*1000000</f>
        <v>35797278.311023772</v>
      </c>
      <c r="DL206" s="1023">
        <f>DK206/1.02*1.04</f>
        <v>36499185.728886984</v>
      </c>
      <c r="DM206" s="457"/>
      <c r="DN206" s="1101"/>
    </row>
    <row r="207" spans="1:118" x14ac:dyDescent="0.25">
      <c r="A207" s="1140" t="s">
        <v>327</v>
      </c>
      <c r="B207" s="1140"/>
      <c r="C207" s="1140"/>
      <c r="D207" s="425"/>
      <c r="CW207" s="1073" t="s">
        <v>449</v>
      </c>
      <c r="CX207" s="320" t="s">
        <v>486</v>
      </c>
      <c r="CY207" s="320"/>
      <c r="CZ207" s="320">
        <v>1976</v>
      </c>
      <c r="DB207" s="320">
        <f>CZ207+1+$DA$168</f>
        <v>2002</v>
      </c>
      <c r="DC207" s="1031">
        <v>2033</v>
      </c>
      <c r="DD207" s="1031">
        <v>2039</v>
      </c>
      <c r="DE207" s="1031">
        <v>2045</v>
      </c>
      <c r="DF207" s="1031">
        <f t="shared" si="48"/>
        <v>2026</v>
      </c>
      <c r="DG207" s="1036">
        <v>2052</v>
      </c>
      <c r="DH207" s="1022">
        <f>CX168*$DL$207</f>
        <v>29398135.921400703</v>
      </c>
      <c r="DI207" s="1022">
        <f>CY168*$DL$207</f>
        <v>73495339.803501755</v>
      </c>
      <c r="DJ207" s="1022">
        <f>CZ168*$DL$207</f>
        <v>44097203.882101052</v>
      </c>
      <c r="DK207" s="1021">
        <f>282.887723017252*1000000</f>
        <v>282887723.01725197</v>
      </c>
      <c r="DL207" s="1024">
        <f>293.981359214007*1000000</f>
        <v>293981359.21400702</v>
      </c>
      <c r="DN207" s="1100">
        <f>SUM(DH207:DL207,DH211:DL211)</f>
        <v>750108097.4823705</v>
      </c>
    </row>
    <row r="208" spans="1:118" ht="14.4" thickBot="1" x14ac:dyDescent="0.3">
      <c r="A208" s="1076" t="s">
        <v>325</v>
      </c>
      <c r="B208" s="1076"/>
      <c r="C208" s="1076"/>
      <c r="D208" s="421"/>
      <c r="CW208" s="1073"/>
      <c r="CX208" s="320" t="s">
        <v>487</v>
      </c>
      <c r="CY208" s="320"/>
      <c r="CZ208" s="320">
        <v>1976</v>
      </c>
      <c r="DB208" s="320">
        <f>CZ208+1+$DA$168</f>
        <v>2002</v>
      </c>
      <c r="DC208" s="583"/>
      <c r="DD208" s="583"/>
      <c r="DE208" s="583"/>
      <c r="DF208" s="320"/>
      <c r="DG208" s="584"/>
      <c r="DH208" s="590" t="s">
        <v>122</v>
      </c>
      <c r="DI208" s="590" t="s">
        <v>122</v>
      </c>
      <c r="DJ208" s="590" t="s">
        <v>122</v>
      </c>
      <c r="DK208" s="590" t="s">
        <v>122</v>
      </c>
      <c r="DL208" s="590" t="s">
        <v>122</v>
      </c>
      <c r="DN208" s="1102"/>
    </row>
    <row r="209" spans="1:129" ht="14.4" thickBot="1" x14ac:dyDescent="0.3">
      <c r="A209" s="945" t="s">
        <v>149</v>
      </c>
      <c r="B209" s="946" t="s">
        <v>150</v>
      </c>
      <c r="C209" s="946" t="s">
        <v>151</v>
      </c>
      <c r="D209" s="211"/>
      <c r="CW209" s="1073"/>
      <c r="CX209" s="320" t="s">
        <v>488</v>
      </c>
      <c r="CY209" s="320"/>
      <c r="CZ209" s="320">
        <v>1977</v>
      </c>
      <c r="DB209" s="320">
        <f>CZ209+1+$DA$168</f>
        <v>2003</v>
      </c>
      <c r="DC209" s="583"/>
      <c r="DD209" s="583"/>
      <c r="DE209" s="583"/>
      <c r="DF209" s="320"/>
      <c r="DG209" s="584"/>
      <c r="DH209" s="590" t="s">
        <v>122</v>
      </c>
      <c r="DI209" s="590" t="s">
        <v>122</v>
      </c>
      <c r="DJ209" s="590" t="s">
        <v>122</v>
      </c>
      <c r="DK209" s="590" t="s">
        <v>122</v>
      </c>
      <c r="DL209" s="590" t="s">
        <v>122</v>
      </c>
      <c r="DN209" s="1102"/>
    </row>
    <row r="210" spans="1:129" ht="14.4" thickBot="1" x14ac:dyDescent="0.3">
      <c r="A210" s="938" t="s">
        <v>216</v>
      </c>
      <c r="B210" s="953">
        <v>0</v>
      </c>
      <c r="C210" s="953">
        <v>0</v>
      </c>
      <c r="D210" s="427"/>
      <c r="CW210" s="1073"/>
      <c r="CX210" s="320" t="s">
        <v>489</v>
      </c>
      <c r="CY210" s="320"/>
      <c r="CZ210" s="320">
        <v>1976</v>
      </c>
      <c r="DB210" s="320">
        <f>CZ210+1+$DA$168</f>
        <v>2002</v>
      </c>
      <c r="DC210" s="583"/>
      <c r="DD210" s="583"/>
      <c r="DE210" s="583"/>
      <c r="DF210" s="320"/>
      <c r="DG210" s="584"/>
      <c r="DH210" s="591" t="s">
        <v>122</v>
      </c>
      <c r="DI210" s="591" t="s">
        <v>122</v>
      </c>
      <c r="DJ210" s="591" t="s">
        <v>122</v>
      </c>
      <c r="DK210" s="591" t="s">
        <v>122</v>
      </c>
      <c r="DL210" s="591" t="s">
        <v>122</v>
      </c>
      <c r="DN210" s="1102"/>
    </row>
    <row r="211" spans="1:129" ht="14.4" thickBot="1" x14ac:dyDescent="0.3">
      <c r="A211" s="938" t="s">
        <v>215</v>
      </c>
      <c r="B211" s="953">
        <v>0</v>
      </c>
      <c r="C211" s="953">
        <v>0</v>
      </c>
      <c r="D211" s="427"/>
      <c r="CW211" s="1073"/>
      <c r="CX211" s="320" t="s">
        <v>490</v>
      </c>
      <c r="CY211" s="320"/>
      <c r="CZ211" s="320">
        <v>2015</v>
      </c>
      <c r="DB211" s="320">
        <f>CZ211+1+$DA$168</f>
        <v>2041</v>
      </c>
      <c r="DC211" s="1031">
        <v>2048</v>
      </c>
      <c r="DD211" s="1031">
        <v>2029</v>
      </c>
      <c r="DE211" s="1031">
        <v>2035</v>
      </c>
      <c r="DF211" s="1031">
        <f t="shared" ref="DF211:DF212" si="49">IF(DB211&lt;2026,2026,DB211)</f>
        <v>2041</v>
      </c>
      <c r="DG211" s="1038" t="s">
        <v>912</v>
      </c>
      <c r="DH211" s="1019">
        <f>CX168*$DK$211</f>
        <v>1499904.8939490169</v>
      </c>
      <c r="DI211" s="1019">
        <f>CY168*$DK$211</f>
        <v>3749762.2348725423</v>
      </c>
      <c r="DJ211" s="1019">
        <f>CZ168*$DK$211</f>
        <v>2249857.3409235254</v>
      </c>
      <c r="DK211" s="1018">
        <f>(6.85670808662408+8.14234085286609)*1000000</f>
        <v>14999048.939490169</v>
      </c>
      <c r="DL211" s="1025">
        <f>DI211</f>
        <v>3749762.2348725423</v>
      </c>
      <c r="DN211" s="1102"/>
    </row>
    <row r="212" spans="1:129" ht="14.4" thickBot="1" x14ac:dyDescent="0.3">
      <c r="A212" s="945" t="s">
        <v>152</v>
      </c>
      <c r="B212" s="953">
        <v>1</v>
      </c>
      <c r="C212" s="953">
        <v>1</v>
      </c>
      <c r="D212" s="427"/>
      <c r="CW212" s="1073" t="s">
        <v>450</v>
      </c>
      <c r="CX212" s="727" t="s">
        <v>491</v>
      </c>
      <c r="CY212" s="320"/>
      <c r="CZ212" s="320">
        <v>2016</v>
      </c>
      <c r="DB212" s="320">
        <f t="shared" ref="DB212:DB217" si="50">CZ212+1+$DA$169</f>
        <v>2042</v>
      </c>
      <c r="DC212" s="596">
        <v>2049</v>
      </c>
      <c r="DD212" s="596">
        <v>2030</v>
      </c>
      <c r="DE212" s="596">
        <v>2036</v>
      </c>
      <c r="DF212" s="596">
        <f t="shared" si="49"/>
        <v>2042</v>
      </c>
      <c r="DG212" s="592" t="s">
        <v>913</v>
      </c>
      <c r="DH212" s="320" t="s">
        <v>122</v>
      </c>
      <c r="DI212" s="320" t="s">
        <v>122</v>
      </c>
      <c r="DJ212" s="320" t="s">
        <v>122</v>
      </c>
      <c r="DK212" s="587" t="s">
        <v>122</v>
      </c>
      <c r="DL212" s="2" t="s">
        <v>521</v>
      </c>
      <c r="DN212" s="1100">
        <f>SUM(DH211:DL211,DH214:DL218)</f>
        <v>266463851.43785709</v>
      </c>
    </row>
    <row r="213" spans="1:129" ht="14.4" thickBot="1" x14ac:dyDescent="0.3">
      <c r="A213" s="938" t="s">
        <v>153</v>
      </c>
      <c r="B213" s="953">
        <f>(10+12)/2</f>
        <v>11</v>
      </c>
      <c r="C213" s="953">
        <f>(10+13)/2</f>
        <v>11.5</v>
      </c>
      <c r="D213" s="427"/>
      <c r="CW213" s="1073"/>
      <c r="CX213" s="727" t="s">
        <v>492</v>
      </c>
      <c r="CY213" s="320"/>
      <c r="CZ213" s="320">
        <v>1976</v>
      </c>
      <c r="DB213" s="320">
        <f t="shared" si="50"/>
        <v>2002</v>
      </c>
      <c r="DC213" s="1031">
        <v>2033</v>
      </c>
      <c r="DD213" s="1031">
        <v>2039</v>
      </c>
      <c r="DE213" s="1031">
        <v>2045</v>
      </c>
      <c r="DF213" s="1031">
        <f t="shared" ref="DF213:DF218" si="51">IF(DB213&lt;2026,2026,DB213)</f>
        <v>2026</v>
      </c>
      <c r="DG213" s="1036">
        <v>2052</v>
      </c>
      <c r="DH213" s="320" t="s">
        <v>122</v>
      </c>
      <c r="DI213" s="320" t="s">
        <v>122</v>
      </c>
      <c r="DJ213" s="320" t="s">
        <v>122</v>
      </c>
      <c r="DK213" s="587" t="s">
        <v>122</v>
      </c>
      <c r="DL213" s="2" t="s">
        <v>508</v>
      </c>
      <c r="DN213" s="1102"/>
    </row>
    <row r="214" spans="1:129" x14ac:dyDescent="0.25">
      <c r="A214" s="1140" t="s">
        <v>327</v>
      </c>
      <c r="B214" s="1140"/>
      <c r="C214" s="1140"/>
      <c r="D214" s="425"/>
      <c r="CW214" s="1073"/>
      <c r="CX214" s="727" t="s">
        <v>493</v>
      </c>
      <c r="CY214" s="320"/>
      <c r="CZ214" s="320">
        <v>2004</v>
      </c>
      <c r="DB214" s="320">
        <f t="shared" si="50"/>
        <v>2030</v>
      </c>
      <c r="DC214" s="1031">
        <v>2036</v>
      </c>
      <c r="DD214" s="1031">
        <v>2042</v>
      </c>
      <c r="DE214" s="1031">
        <v>2049</v>
      </c>
      <c r="DF214" s="1031">
        <f t="shared" si="51"/>
        <v>2030</v>
      </c>
      <c r="DG214" s="1037">
        <v>2053</v>
      </c>
      <c r="DH214" s="1088">
        <f>CX169*$DL$214</f>
        <v>857088.51082801027</v>
      </c>
      <c r="DI214" s="1088">
        <f>CY169*$DL$214</f>
        <v>2142721.2770700254</v>
      </c>
      <c r="DJ214" s="1088">
        <f>CZ169*$DL$214</f>
        <v>1285632.7662420152</v>
      </c>
      <c r="DK214" s="1088">
        <f>8.24745548155255*1000000</f>
        <v>8247455.4815525496</v>
      </c>
      <c r="DL214" s="1109">
        <f>DK214/1.02*1.06</f>
        <v>8570885.1082801018</v>
      </c>
      <c r="DM214" s="1094"/>
      <c r="DN214" s="1102"/>
    </row>
    <row r="215" spans="1:129" ht="14.4" thickBot="1" x14ac:dyDescent="0.3">
      <c r="A215" s="1076" t="s">
        <v>326</v>
      </c>
      <c r="B215" s="1076"/>
      <c r="C215" s="1076"/>
      <c r="D215" s="421"/>
      <c r="CW215" s="1073"/>
      <c r="CX215" s="727" t="s">
        <v>494</v>
      </c>
      <c r="CY215" s="320"/>
      <c r="CZ215" s="320">
        <v>2004</v>
      </c>
      <c r="DB215" s="320">
        <f t="shared" si="50"/>
        <v>2030</v>
      </c>
      <c r="DC215" s="1031">
        <v>2036</v>
      </c>
      <c r="DD215" s="1031">
        <v>2042</v>
      </c>
      <c r="DE215" s="1031">
        <v>2049</v>
      </c>
      <c r="DF215" s="1031">
        <f t="shared" si="51"/>
        <v>2030</v>
      </c>
      <c r="DG215" s="1037">
        <v>2053</v>
      </c>
      <c r="DH215" s="1089"/>
      <c r="DI215" s="1089"/>
      <c r="DJ215" s="1089"/>
      <c r="DK215" s="1089"/>
      <c r="DL215" s="1110"/>
      <c r="DM215" s="1095"/>
      <c r="DN215" s="1102"/>
    </row>
    <row r="216" spans="1:129" ht="14.4" thickBot="1" x14ac:dyDescent="0.3">
      <c r="A216" s="945" t="s">
        <v>149</v>
      </c>
      <c r="B216" s="946" t="s">
        <v>150</v>
      </c>
      <c r="C216" s="946" t="s">
        <v>151</v>
      </c>
      <c r="D216" s="211"/>
      <c r="CW216" s="1073"/>
      <c r="CX216" s="727" t="s">
        <v>495</v>
      </c>
      <c r="CY216" s="320"/>
      <c r="CZ216" s="320">
        <v>2004</v>
      </c>
      <c r="DB216" s="320">
        <f t="shared" si="50"/>
        <v>2030</v>
      </c>
      <c r="DC216" s="1031">
        <v>2036</v>
      </c>
      <c r="DD216" s="1031">
        <v>2042</v>
      </c>
      <c r="DE216" s="1031">
        <v>2049</v>
      </c>
      <c r="DF216" s="1031">
        <f t="shared" si="51"/>
        <v>2030</v>
      </c>
      <c r="DG216" s="1037">
        <v>2053</v>
      </c>
      <c r="DH216" s="1019">
        <f>CX169*$DL$216</f>
        <v>74356.04147196874</v>
      </c>
      <c r="DI216" s="1019">
        <f>CY169*$DL$216</f>
        <v>185890.10367992186</v>
      </c>
      <c r="DJ216" s="1019">
        <f>CZ169*$DL$216</f>
        <v>111534.06220795312</v>
      </c>
      <c r="DK216" s="1018">
        <f>0.729261175975078*1000000</f>
        <v>729261.17597507802</v>
      </c>
      <c r="DL216" s="1023">
        <f>DK216/1.02*1.04</f>
        <v>743560.41471968743</v>
      </c>
      <c r="DM216" s="461" t="s">
        <v>511</v>
      </c>
      <c r="DN216" s="1102"/>
    </row>
    <row r="217" spans="1:129" ht="14.4" thickBot="1" x14ac:dyDescent="0.3">
      <c r="A217" s="938" t="s">
        <v>216</v>
      </c>
      <c r="B217" s="953">
        <v>0</v>
      </c>
      <c r="C217" s="953">
        <v>0</v>
      </c>
      <c r="D217" s="427"/>
      <c r="CW217" s="1073"/>
      <c r="CX217" s="727" t="s">
        <v>496</v>
      </c>
      <c r="CY217" s="320"/>
      <c r="CZ217" s="320">
        <v>1976</v>
      </c>
      <c r="DB217" s="320">
        <f t="shared" si="50"/>
        <v>2002</v>
      </c>
      <c r="DC217" s="1031">
        <v>2033</v>
      </c>
      <c r="DD217" s="1031">
        <v>2039</v>
      </c>
      <c r="DE217" s="1031">
        <v>2045</v>
      </c>
      <c r="DF217" s="1031">
        <f t="shared" si="51"/>
        <v>2026</v>
      </c>
      <c r="DG217" s="1036">
        <v>2052</v>
      </c>
      <c r="DH217" s="1019">
        <f>CX169*$DL$217</f>
        <v>1971303.574904423</v>
      </c>
      <c r="DI217" s="1019">
        <f>CY169*$DL$217</f>
        <v>4928258.9372610571</v>
      </c>
      <c r="DJ217" s="1019">
        <f>CZ169*$DL$217</f>
        <v>2956955.3623566343</v>
      </c>
      <c r="DK217" s="1018">
        <f>(2.47423664446576+16.4949109631051)*1000000</f>
        <v>18969147.607570861</v>
      </c>
      <c r="DL217" s="1023">
        <f>DK217/1.02*1.06</f>
        <v>19713035.749044228</v>
      </c>
      <c r="DN217" s="1102"/>
    </row>
    <row r="218" spans="1:129" ht="14.4" thickBot="1" x14ac:dyDescent="0.3">
      <c r="A218" s="938" t="s">
        <v>215</v>
      </c>
      <c r="B218" s="953">
        <v>0</v>
      </c>
      <c r="C218" s="953">
        <v>0</v>
      </c>
      <c r="D218" s="427"/>
      <c r="CW218" s="1074"/>
      <c r="CX218" s="320" t="s">
        <v>623</v>
      </c>
      <c r="CY218" s="320"/>
      <c r="CZ218" s="320" t="s">
        <v>624</v>
      </c>
      <c r="DB218" s="320"/>
      <c r="DC218" s="1031">
        <v>2033</v>
      </c>
      <c r="DD218" s="1031">
        <v>2039</v>
      </c>
      <c r="DE218" s="1031">
        <v>2045</v>
      </c>
      <c r="DF218" s="1031">
        <f t="shared" si="51"/>
        <v>2026</v>
      </c>
      <c r="DG218" s="1036">
        <v>2052</v>
      </c>
      <c r="DH218" s="1019">
        <f>CX169*$DL$218</f>
        <v>6933326.1682104589</v>
      </c>
      <c r="DI218" s="1019">
        <f>CY169*$DL$218</f>
        <v>17333315.420526147</v>
      </c>
      <c r="DJ218" s="1019">
        <f>CZ169*$DL$218</f>
        <v>10399989.252315687</v>
      </c>
      <c r="DK218" s="1018">
        <f>(24.1656853177566+40.5628517796713)*1000000</f>
        <v>64728537.097427905</v>
      </c>
      <c r="DL218" s="1023">
        <f>(25.1133592517863+44.2199024303183)*1000000</f>
        <v>69333261.682104588</v>
      </c>
      <c r="DM218" s="457"/>
      <c r="DN218" s="1102"/>
    </row>
    <row r="219" spans="1:129" ht="15.6" thickBot="1" x14ac:dyDescent="0.45">
      <c r="A219" s="945" t="s">
        <v>152</v>
      </c>
      <c r="B219" s="953">
        <v>1</v>
      </c>
      <c r="C219" s="953">
        <v>1</v>
      </c>
      <c r="D219" s="427"/>
      <c r="DH219" s="597"/>
      <c r="DK219" s="457">
        <f>SUM(DK175:DK199,DK201:DK207,DK211,DK214:DK218)</f>
        <v>1528369390.6073501</v>
      </c>
      <c r="DT219" s="697"/>
      <c r="DU219" s="697"/>
      <c r="DV219" s="697"/>
      <c r="DW219" s="697"/>
      <c r="DX219" s="697"/>
    </row>
    <row r="220" spans="1:129" ht="15.75" customHeight="1" thickBot="1" x14ac:dyDescent="0.45">
      <c r="A220" s="938" t="s">
        <v>153</v>
      </c>
      <c r="B220" s="953">
        <f>(9+11)/2</f>
        <v>10</v>
      </c>
      <c r="C220" s="953">
        <f>(9+10)/2</f>
        <v>9.5</v>
      </c>
      <c r="D220" s="427"/>
      <c r="DH220" s="597">
        <f>SUM(DH214:DL218,DH211:DL211,DH201:DL207,DH200:DJ200,DH197:DI199,DJ197,DK197:DK199,DL197,DK191:DK196,DJ191,DH193:DH196,DH186:DH190,DK185:DK190,DH185:DI185,DH175:DK184,DL176:DL177,DL179)</f>
        <v>2976668996.0344462</v>
      </c>
      <c r="DI220" s="457"/>
      <c r="DJ220" s="457">
        <f>SUM(DH214:DJ218,DL214:DL218,DH211:DJ211,DL211,DL201:DL207,DH200:DJ207,DH197:DI199,DJ197,DL197,DJ191,DH193:DH196,DH186:DH190,DH185:DI185,DH175:DJ184,DL176:DL180)+'[2]Provozní náklady'!$AK$75</f>
        <v>1826426340.9900641</v>
      </c>
      <c r="DL220" s="457"/>
      <c r="DQ220" s="1096" t="s">
        <v>531</v>
      </c>
      <c r="DR220" s="1097"/>
      <c r="DS220" s="1097"/>
      <c r="DT220" s="714" t="s">
        <v>561</v>
      </c>
      <c r="DU220" s="628" t="s">
        <v>562</v>
      </c>
      <c r="DV220" s="628" t="s">
        <v>541</v>
      </c>
      <c r="DW220" s="628" t="s">
        <v>539</v>
      </c>
      <c r="DX220" s="904" t="s">
        <v>540</v>
      </c>
      <c r="DY220" s="899" t="s">
        <v>823</v>
      </c>
    </row>
    <row r="221" spans="1:129" ht="15.75" customHeight="1" x14ac:dyDescent="0.25">
      <c r="DQ221" s="629" t="s">
        <v>532</v>
      </c>
      <c r="DR221" s="630"/>
      <c r="DS221" s="631" t="s">
        <v>533</v>
      </c>
      <c r="DT221" s="620">
        <f>'[1]SOUHRN PN VLAKŮ'!J17</f>
        <v>1837.8995433789953</v>
      </c>
      <c r="DU221" s="621">
        <f>'[1]SOUHRN PN VLAKŮ'!K17</f>
        <v>1212.5824454591577</v>
      </c>
      <c r="DV221" s="621">
        <f>'[1]SOUHRN PN VLAKŮ'!M17</f>
        <v>2057.3313039066466</v>
      </c>
      <c r="DW221" s="621">
        <f>'[1]SOUHRN PN VLAKŮ'!N17</f>
        <v>1837.8995433789953</v>
      </c>
      <c r="DX221" s="621">
        <f>'[1]SOUHRN PN VLAKŮ'!O17</f>
        <v>1837.8995433789953</v>
      </c>
      <c r="DY221" s="900">
        <f>'[1]SOUHRN PN VLAKŮ'!P17</f>
        <v>345.92500345925004</v>
      </c>
    </row>
    <row r="222" spans="1:129" ht="15.75" customHeight="1" x14ac:dyDescent="0.25">
      <c r="DQ222" s="632" t="s">
        <v>534</v>
      </c>
      <c r="DR222" s="633"/>
      <c r="DS222" s="634" t="s">
        <v>533</v>
      </c>
      <c r="DT222" s="623">
        <f>'[1]SOUHRN PN VLAKŮ'!J18</f>
        <v>1337.5190258751904</v>
      </c>
      <c r="DU222" s="618">
        <f>'[1]SOUHRN PN VLAKŮ'!K18</f>
        <v>885.33739218670723</v>
      </c>
      <c r="DV222" s="618">
        <f>'[1]SOUHRN PN VLAKŮ'!M18</f>
        <v>1586.7579908675798</v>
      </c>
      <c r="DW222" s="618">
        <f>'[1]SOUHRN PN VLAKŮ'!N18</f>
        <v>1337.5190258751904</v>
      </c>
      <c r="DX222" s="618">
        <f>'[1]SOUHRN PN VLAKŮ'!O18</f>
        <v>1337.5190258751904</v>
      </c>
      <c r="DY222" s="901">
        <f>'[1]SOUHRN PN VLAKŮ'!P18</f>
        <v>311.33250311332506</v>
      </c>
    </row>
    <row r="223" spans="1:129" ht="15.75" customHeight="1" x14ac:dyDescent="0.25">
      <c r="A223" s="1182" t="s">
        <v>833</v>
      </c>
      <c r="B223" s="1182"/>
      <c r="C223" s="1182"/>
      <c r="D223" s="1182"/>
      <c r="E223" s="1182"/>
      <c r="F223" s="1182"/>
      <c r="DQ223" s="632" t="s">
        <v>535</v>
      </c>
      <c r="DR223" s="633"/>
      <c r="DS223" s="634" t="s">
        <v>536</v>
      </c>
      <c r="DT223" s="623">
        <f>'[1]SOUHRN PN VLAKŮ'!J19</f>
        <v>134.68267612800003</v>
      </c>
      <c r="DU223" s="618">
        <f>'[1]SOUHRN PN VLAKŮ'!K19</f>
        <v>122.43879648000004</v>
      </c>
      <c r="DV223" s="618">
        <f>'[1]SOUHRN PN VLAKŮ'!M19</f>
        <v>216.33708096000004</v>
      </c>
      <c r="DW223" s="618">
        <f>'[1]SOUHRN PN VLAKŮ'!N19</f>
        <v>113.75296732800001</v>
      </c>
      <c r="DX223" s="618">
        <f>'[1]SOUHRN PN VLAKŮ'!O19</f>
        <v>176.54209372800005</v>
      </c>
      <c r="DY223" s="901">
        <f>'[1]SOUHRN PN VLAKŮ'!P19</f>
        <v>87.988232011680026</v>
      </c>
    </row>
    <row r="224" spans="1:129" ht="15.75" customHeight="1" x14ac:dyDescent="0.25">
      <c r="A224" s="929" t="s">
        <v>149</v>
      </c>
      <c r="B224" s="929" t="s">
        <v>830</v>
      </c>
      <c r="C224" s="931" t="s">
        <v>832</v>
      </c>
      <c r="D224" s="929" t="s">
        <v>334</v>
      </c>
      <c r="E224" s="929" t="s">
        <v>162</v>
      </c>
      <c r="F224" s="929" t="s">
        <v>163</v>
      </c>
      <c r="DQ224" s="632" t="s">
        <v>537</v>
      </c>
      <c r="DR224" s="633"/>
      <c r="DS224" s="634" t="s">
        <v>533</v>
      </c>
      <c r="DT224" s="623">
        <f>'[1]SOUHRN PN VLAKŮ'!J20</f>
        <v>707.65400000000011</v>
      </c>
      <c r="DU224" s="618">
        <f>'[1]SOUHRN PN VLAKŮ'!K20</f>
        <v>1250.2200000000003</v>
      </c>
      <c r="DV224" s="618">
        <f>'[1]SOUHRN PN VLAKŮ'!M20</f>
        <v>1250.2200000000003</v>
      </c>
      <c r="DW224" s="618">
        <f>'[1]SOUHRN PN VLAKŮ'!N20</f>
        <v>707.65400000000011</v>
      </c>
      <c r="DX224" s="618">
        <f>'[1]SOUHRN PN VLAKŮ'!O20</f>
        <v>707.65400000000011</v>
      </c>
      <c r="DY224" s="901">
        <f>'[1]SOUHRN PN VLAKŮ'!P20</f>
        <v>707.65400000000011</v>
      </c>
    </row>
    <row r="225" spans="1:129" ht="15.75" customHeight="1" thickBot="1" x14ac:dyDescent="0.3">
      <c r="A225" s="930" t="s">
        <v>215</v>
      </c>
      <c r="B225" s="929">
        <v>11</v>
      </c>
      <c r="C225" s="931">
        <v>10</v>
      </c>
      <c r="D225" s="929">
        <v>10</v>
      </c>
      <c r="E225" s="929">
        <v>8</v>
      </c>
      <c r="F225" s="929">
        <v>8</v>
      </c>
      <c r="DQ225" s="635" t="s">
        <v>538</v>
      </c>
      <c r="DR225" s="617">
        <v>75</v>
      </c>
      <c r="DS225" s="636" t="s">
        <v>533</v>
      </c>
      <c r="DT225" s="625">
        <f>'[1]SOUHRN PN VLAKŮ'!J21</f>
        <v>530.74050000000011</v>
      </c>
      <c r="DU225" s="626">
        <f>'[1]SOUHRN PN VLAKŮ'!K21</f>
        <v>937.66500000000019</v>
      </c>
      <c r="DV225" s="626">
        <f>'[1]SOUHRN PN VLAKŮ'!M21</f>
        <v>937.66500000000019</v>
      </c>
      <c r="DW225" s="626">
        <f>'[1]SOUHRN PN VLAKŮ'!N21</f>
        <v>530.74050000000011</v>
      </c>
      <c r="DX225" s="626">
        <f>'[1]SOUHRN PN VLAKŮ'!O21</f>
        <v>530.74050000000011</v>
      </c>
      <c r="DY225" s="902">
        <f>'[1]SOUHRN PN VLAKŮ'!P21</f>
        <v>530.74050000000011</v>
      </c>
    </row>
    <row r="226" spans="1:129" ht="15.75" customHeight="1" x14ac:dyDescent="0.25">
      <c r="A226" s="930" t="s">
        <v>152</v>
      </c>
      <c r="B226" s="929">
        <v>0</v>
      </c>
      <c r="C226" s="931">
        <v>0</v>
      </c>
      <c r="D226" s="929">
        <v>0</v>
      </c>
      <c r="E226" s="929">
        <v>1</v>
      </c>
      <c r="F226" s="929">
        <v>1</v>
      </c>
      <c r="DQ226" s="704" t="s">
        <v>824</v>
      </c>
      <c r="DR226" s="703"/>
      <c r="DS226" s="706" t="s">
        <v>533</v>
      </c>
      <c r="DT226" s="907">
        <f>'[1]SOUHRN PN VLAKŮ'!J22</f>
        <v>4413.8130692541863</v>
      </c>
      <c r="DU226" s="908">
        <f>'[1]SOUHRN PN VLAKŮ'!K22</f>
        <v>4285.8048376458655</v>
      </c>
      <c r="DV226" s="908">
        <f>'[1]SOUHRN PN VLAKŮ'!M22</f>
        <v>5831.9742947742261</v>
      </c>
      <c r="DW226" s="908">
        <f>'[1]SOUHRN PN VLAKŮ'!N22</f>
        <v>4413.8130692541863</v>
      </c>
      <c r="DX226" s="908">
        <f>'[1]SOUHRN PN VLAKŮ'!O22</f>
        <v>4413.8130692541863</v>
      </c>
      <c r="DY226" s="919">
        <f>'[1]SOUHRN PN VLAKŮ'!P22</f>
        <v>1895.6520065725751</v>
      </c>
    </row>
    <row r="227" spans="1:129" ht="15.75" customHeight="1" x14ac:dyDescent="0.25">
      <c r="A227" s="930" t="s">
        <v>153</v>
      </c>
      <c r="B227" s="929" t="s">
        <v>837</v>
      </c>
      <c r="C227" s="929" t="s">
        <v>837</v>
      </c>
      <c r="D227" s="929" t="s">
        <v>837</v>
      </c>
      <c r="E227" s="929" t="s">
        <v>838</v>
      </c>
      <c r="F227" s="929">
        <v>19</v>
      </c>
      <c r="G227" s="641"/>
      <c r="H227" s="641"/>
      <c r="I227" s="641"/>
      <c r="DQ227" s="705" t="s">
        <v>919</v>
      </c>
      <c r="DR227" s="699"/>
      <c r="DS227" s="707" t="s">
        <v>533</v>
      </c>
      <c r="DT227" s="700">
        <f>DT226*(1+$AO$96)*(1+$AP$96)*(1+$AQ$96)</f>
        <v>4697.7591371275139</v>
      </c>
      <c r="DU227" s="701">
        <f t="shared" ref="DU227:DY227" si="52">DU226*(1+$AO$96)*(1+$AP$96)*(1+$AQ$96)</f>
        <v>4561.5159772496227</v>
      </c>
      <c r="DV227" s="701">
        <f t="shared" si="52"/>
        <v>6207.1524328051773</v>
      </c>
      <c r="DW227" s="701">
        <f t="shared" si="52"/>
        <v>4697.7591371275139</v>
      </c>
      <c r="DX227" s="701">
        <f t="shared" si="52"/>
        <v>4697.7591371275139</v>
      </c>
      <c r="DY227" s="903">
        <f t="shared" si="52"/>
        <v>2017.6016507638767</v>
      </c>
    </row>
    <row r="228" spans="1:129" ht="15.75" customHeight="1" x14ac:dyDescent="0.25">
      <c r="A228" s="932"/>
      <c r="B228" s="932"/>
      <c r="C228" s="932"/>
      <c r="D228" s="932"/>
      <c r="E228" s="932"/>
      <c r="F228" s="932"/>
      <c r="DQ228" s="905" t="s">
        <v>825</v>
      </c>
      <c r="DR228" s="906"/>
      <c r="DS228" s="918" t="s">
        <v>536</v>
      </c>
      <c r="DT228" s="912">
        <f>'[1]SOUHRN PN VLAKŮ'!J23</f>
        <v>134.68267612800003</v>
      </c>
      <c r="DU228" s="913">
        <f>'[1]SOUHRN PN VLAKŮ'!K23</f>
        <v>122.43879648000004</v>
      </c>
      <c r="DV228" s="913">
        <f>'[1]SOUHRN PN VLAKŮ'!M23</f>
        <v>216.33708096000004</v>
      </c>
      <c r="DW228" s="913">
        <f>'[1]SOUHRN PN VLAKŮ'!N23</f>
        <v>113.75296732800001</v>
      </c>
      <c r="DX228" s="913">
        <f>'[1]SOUHRN PN VLAKŮ'!O23</f>
        <v>176.54209372800005</v>
      </c>
      <c r="DY228" s="920">
        <f>'[1]SOUHRN PN VLAKŮ'!P23</f>
        <v>87.988232011680026</v>
      </c>
    </row>
    <row r="229" spans="1:129" ht="15.75" customHeight="1" thickBot="1" x14ac:dyDescent="0.3">
      <c r="A229" s="1182" t="s">
        <v>834</v>
      </c>
      <c r="B229" s="1182"/>
      <c r="C229" s="1182"/>
      <c r="D229" s="1182"/>
      <c r="E229" s="1182"/>
      <c r="F229" s="1182"/>
      <c r="DQ229" s="916" t="s">
        <v>926</v>
      </c>
      <c r="DR229" s="916"/>
      <c r="DS229" s="917" t="s">
        <v>536</v>
      </c>
      <c r="DT229" s="619">
        <f>DT228*(1+$AO$96)*(1+$AP$96)*(1+$AQ$96)</f>
        <v>143.34697968983266</v>
      </c>
      <c r="DU229" s="910">
        <f t="shared" ref="DU229:DY229" si="53">DU228*(1+$AO$96)*(1+$AP$96)*(1+$AQ$96)</f>
        <v>130.31543608166606</v>
      </c>
      <c r="DV229" s="910">
        <f t="shared" si="53"/>
        <v>230.2543136361372</v>
      </c>
      <c r="DW229" s="910">
        <f t="shared" si="53"/>
        <v>121.07083676988974</v>
      </c>
      <c r="DX229" s="910">
        <f t="shared" si="53"/>
        <v>187.89926552971849</v>
      </c>
      <c r="DY229" s="911">
        <f t="shared" si="53"/>
        <v>93.648624082399095</v>
      </c>
    </row>
    <row r="230" spans="1:129" ht="13.8" thickBot="1" x14ac:dyDescent="0.3">
      <c r="A230" s="929" t="s">
        <v>149</v>
      </c>
      <c r="B230" s="929" t="s">
        <v>830</v>
      </c>
      <c r="C230" s="931" t="s">
        <v>832</v>
      </c>
      <c r="D230" s="929" t="s">
        <v>334</v>
      </c>
      <c r="E230" s="929" t="s">
        <v>162</v>
      </c>
      <c r="F230" s="929" t="s">
        <v>163</v>
      </c>
      <c r="DT230" s="697"/>
      <c r="DU230" s="697"/>
      <c r="DV230" s="697"/>
      <c r="DW230" s="697"/>
      <c r="DX230" s="697"/>
    </row>
    <row r="231" spans="1:129" ht="14.4" thickBot="1" x14ac:dyDescent="0.3">
      <c r="A231" s="930" t="s">
        <v>215</v>
      </c>
      <c r="B231" s="931">
        <v>10</v>
      </c>
      <c r="C231" s="931">
        <v>10</v>
      </c>
      <c r="D231" s="929">
        <v>11</v>
      </c>
      <c r="E231" s="929">
        <v>8</v>
      </c>
      <c r="F231" s="929">
        <v>8</v>
      </c>
      <c r="DQ231" s="1096" t="s">
        <v>531</v>
      </c>
      <c r="DR231" s="1097"/>
      <c r="DS231" s="1097"/>
      <c r="DT231" s="696" t="s">
        <v>550</v>
      </c>
      <c r="DU231" s="696" t="s">
        <v>551</v>
      </c>
      <c r="DV231" s="696" t="s">
        <v>552</v>
      </c>
      <c r="DW231" s="696" t="s">
        <v>553</v>
      </c>
      <c r="DX231" s="698" t="s">
        <v>554</v>
      </c>
    </row>
    <row r="232" spans="1:129" ht="14.4" x14ac:dyDescent="0.25">
      <c r="A232" s="930" t="s">
        <v>152</v>
      </c>
      <c r="B232" s="929">
        <v>0</v>
      </c>
      <c r="C232" s="931">
        <v>0</v>
      </c>
      <c r="D232" s="929">
        <v>0</v>
      </c>
      <c r="E232" s="929">
        <v>1</v>
      </c>
      <c r="F232" s="929">
        <v>1</v>
      </c>
      <c r="DQ232" s="629" t="s">
        <v>532</v>
      </c>
      <c r="DR232" s="630"/>
      <c r="DS232" s="631" t="s">
        <v>533</v>
      </c>
      <c r="DT232" s="620">
        <f>'[1]SOUHRN PN VLAKŮ'!E17</f>
        <v>418.56925418569261</v>
      </c>
      <c r="DU232" s="621">
        <f>'[1]SOUHRN PN VLAKŮ'!F17</f>
        <v>1065.4490106544902</v>
      </c>
      <c r="DV232" s="621">
        <f>'[1]SOUHRN PN VLAKŮ'!G17</f>
        <v>875.19025875190243</v>
      </c>
      <c r="DW232" s="621">
        <f>'[1]SOUHRN PN VLAKŮ'!H17</f>
        <v>1065.4490106544902</v>
      </c>
      <c r="DX232" s="622">
        <f>'[1]SOUHRN PN VLAKŮ'!I17</f>
        <v>3500.7610350076097</v>
      </c>
    </row>
    <row r="233" spans="1:129" ht="14.4" x14ac:dyDescent="0.25">
      <c r="A233" s="930" t="s">
        <v>153</v>
      </c>
      <c r="B233" s="929" t="s">
        <v>837</v>
      </c>
      <c r="C233" s="929" t="s">
        <v>837</v>
      </c>
      <c r="D233" s="929" t="s">
        <v>837</v>
      </c>
      <c r="E233" s="929" t="s">
        <v>839</v>
      </c>
      <c r="F233" s="929">
        <v>18</v>
      </c>
      <c r="DQ233" s="632" t="s">
        <v>534</v>
      </c>
      <c r="DR233" s="633"/>
      <c r="DS233" s="634" t="s">
        <v>533</v>
      </c>
      <c r="DT233" s="623">
        <f>'[1]SOUHRN PN VLAKŮ'!E18</f>
        <v>376.71232876712327</v>
      </c>
      <c r="DU233" s="618">
        <f>'[1]SOUHRN PN VLAKŮ'!F18</f>
        <v>958.90410958904124</v>
      </c>
      <c r="DV233" s="618">
        <f>'[1]SOUHRN PN VLAKŮ'!G18</f>
        <v>787.67123287671234</v>
      </c>
      <c r="DW233" s="618">
        <f>'[1]SOUHRN PN VLAKŮ'!H18</f>
        <v>958.90410958904124</v>
      </c>
      <c r="DX233" s="624">
        <f>'[1]SOUHRN PN VLAKŮ'!I18</f>
        <v>2351.5981735159817</v>
      </c>
    </row>
    <row r="234" spans="1:129" ht="14.4" x14ac:dyDescent="0.25">
      <c r="A234" s="932"/>
      <c r="B234" s="932"/>
      <c r="C234" s="932"/>
      <c r="D234" s="932"/>
      <c r="E234" s="932"/>
      <c r="F234" s="932"/>
      <c r="DQ234" s="632" t="s">
        <v>535</v>
      </c>
      <c r="DR234" s="633"/>
      <c r="DS234" s="634" t="s">
        <v>536</v>
      </c>
      <c r="DT234" s="623">
        <f>'[1]SOUHRN PN VLAKŮ'!E19</f>
        <v>19.908780091200008</v>
      </c>
      <c r="DU234" s="618">
        <f>'[1]SOUHRN PN VLAKŮ'!F19</f>
        <v>28.962565632000004</v>
      </c>
      <c r="DV234" s="618">
        <f>'[1]SOUHRN PN VLAKŮ'!G19</f>
        <v>45.835769548800016</v>
      </c>
      <c r="DW234" s="618">
        <f>'[1]SOUHRN PN VLAKŮ'!H19</f>
        <v>24.506786304000006</v>
      </c>
      <c r="DX234" s="624">
        <f>'[1]SOUHRN PN VLAKŮ'!I19</f>
        <v>56.463078672000023</v>
      </c>
    </row>
    <row r="235" spans="1:129" ht="14.4" x14ac:dyDescent="0.25">
      <c r="A235" s="1182" t="s">
        <v>835</v>
      </c>
      <c r="B235" s="1182"/>
      <c r="C235" s="1182"/>
      <c r="D235" s="1182"/>
      <c r="E235" s="1182"/>
      <c r="F235" s="1182"/>
      <c r="DQ235" s="632" t="s">
        <v>537</v>
      </c>
      <c r="DR235" s="633"/>
      <c r="DS235" s="634" t="s">
        <v>533</v>
      </c>
      <c r="DT235" s="623">
        <f>'[1]SOUHRN PN VLAKŮ'!E20</f>
        <v>908.95755102040823</v>
      </c>
      <c r="DU235" s="618">
        <f>'[1]SOUHRN PN VLAKŮ'!F20</f>
        <v>908.95755102040823</v>
      </c>
      <c r="DV235" s="618">
        <f>'[1]SOUHRN PN VLAKŮ'!G20</f>
        <v>908.95755102040823</v>
      </c>
      <c r="DW235" s="618">
        <f>'[1]SOUHRN PN VLAKŮ'!H20</f>
        <v>908.95755102040823</v>
      </c>
      <c r="DX235" s="624">
        <f>'[1]SOUHRN PN VLAKŮ'!I20</f>
        <v>908.95755102040823</v>
      </c>
    </row>
    <row r="236" spans="1:129" ht="14.4" thickBot="1" x14ac:dyDescent="0.3">
      <c r="A236" s="929" t="s">
        <v>149</v>
      </c>
      <c r="B236" s="929" t="s">
        <v>830</v>
      </c>
      <c r="C236" s="931" t="s">
        <v>832</v>
      </c>
      <c r="D236" s="929" t="s">
        <v>334</v>
      </c>
      <c r="E236" s="929" t="s">
        <v>162</v>
      </c>
      <c r="F236" s="929" t="s">
        <v>163</v>
      </c>
      <c r="DQ236" s="635" t="s">
        <v>538</v>
      </c>
      <c r="DR236" s="617">
        <v>75</v>
      </c>
      <c r="DS236" s="636" t="s">
        <v>533</v>
      </c>
      <c r="DT236" s="625">
        <f>'[1]SOUHRN PN VLAKŮ'!E21</f>
        <v>681.7181632653062</v>
      </c>
      <c r="DU236" s="626">
        <f>'[1]SOUHRN PN VLAKŮ'!F21</f>
        <v>681.7181632653062</v>
      </c>
      <c r="DV236" s="626">
        <f>'[1]SOUHRN PN VLAKŮ'!G21</f>
        <v>681.7181632653062</v>
      </c>
      <c r="DW236" s="626">
        <f>'[1]SOUHRN PN VLAKŮ'!H21</f>
        <v>681.7181632653062</v>
      </c>
      <c r="DX236" s="627">
        <f>'[1]SOUHRN PN VLAKŮ'!I21</f>
        <v>681.7181632653062</v>
      </c>
    </row>
    <row r="237" spans="1:129" ht="14.4" x14ac:dyDescent="0.25">
      <c r="A237" s="930" t="s">
        <v>215</v>
      </c>
      <c r="B237" s="929">
        <v>11</v>
      </c>
      <c r="C237" s="931">
        <v>10</v>
      </c>
      <c r="D237" s="929">
        <v>10</v>
      </c>
      <c r="E237" s="929">
        <v>8</v>
      </c>
      <c r="F237" s="929">
        <v>8</v>
      </c>
      <c r="DQ237" s="704" t="s">
        <v>824</v>
      </c>
      <c r="DR237" s="703"/>
      <c r="DS237" s="637" t="s">
        <v>533</v>
      </c>
      <c r="DT237" s="907">
        <f>'[1]SOUHRN PN VLAKŮ'!E22</f>
        <v>2385.9572972385304</v>
      </c>
      <c r="DU237" s="908">
        <f>'[1]SOUHRN PN VLAKŮ'!F22</f>
        <v>3615.0288345292456</v>
      </c>
      <c r="DV237" s="908">
        <f>'[1]SOUHRN PN VLAKŮ'!G22</f>
        <v>3253.5372059143292</v>
      </c>
      <c r="DW237" s="908">
        <f>'[1]SOUHRN PN VLAKŮ'!H22</f>
        <v>3615.0288345292456</v>
      </c>
      <c r="DX237" s="909">
        <f>'[1]SOUHRN PN VLAKŮ'!I22</f>
        <v>7443.0349228093064</v>
      </c>
    </row>
    <row r="238" spans="1:129" ht="14.4" x14ac:dyDescent="0.25">
      <c r="A238" s="930" t="s">
        <v>152</v>
      </c>
      <c r="B238" s="929">
        <v>0</v>
      </c>
      <c r="C238" s="929">
        <v>0</v>
      </c>
      <c r="D238" s="929">
        <v>0</v>
      </c>
      <c r="E238" s="929">
        <v>0</v>
      </c>
      <c r="F238" s="929">
        <v>0</v>
      </c>
      <c r="G238" s="641"/>
      <c r="H238" s="641"/>
      <c r="I238" s="641"/>
      <c r="DQ238" s="705" t="s">
        <v>919</v>
      </c>
      <c r="DR238" s="699"/>
      <c r="DS238" s="707" t="s">
        <v>533</v>
      </c>
      <c r="DT238" s="700">
        <f>DT237*(1+$AO$96)*(1+$AP$96)*(1+$AQ$96)</f>
        <v>2539.4488887569337</v>
      </c>
      <c r="DU238" s="701">
        <f t="shared" ref="DU238:DX238" si="54">DU237*(1+$AO$96)*(1+$AP$96)*(1+$AQ$96)</f>
        <v>3847.5881220902666</v>
      </c>
      <c r="DV238" s="701">
        <f t="shared" si="54"/>
        <v>3462.841288756933</v>
      </c>
      <c r="DW238" s="701">
        <f t="shared" si="54"/>
        <v>3847.5881220902666</v>
      </c>
      <c r="DX238" s="702">
        <f t="shared" si="54"/>
        <v>7921.8545887569326</v>
      </c>
    </row>
    <row r="239" spans="1:129" ht="14.4" x14ac:dyDescent="0.25">
      <c r="A239" s="930" t="s">
        <v>153</v>
      </c>
      <c r="B239" s="929">
        <v>12</v>
      </c>
      <c r="C239" s="929">
        <v>11</v>
      </c>
      <c r="D239" s="929">
        <v>11</v>
      </c>
      <c r="E239" s="929">
        <v>8</v>
      </c>
      <c r="F239" s="929">
        <v>8</v>
      </c>
      <c r="DQ239" s="905" t="s">
        <v>825</v>
      </c>
      <c r="DR239" s="906"/>
      <c r="DS239" s="707" t="s">
        <v>536</v>
      </c>
      <c r="DT239" s="912">
        <f>'[1]SOUHRN PN VLAKŮ'!E23</f>
        <v>19.908780091200008</v>
      </c>
      <c r="DU239" s="913">
        <f>'[1]SOUHRN PN VLAKŮ'!F23</f>
        <v>28.962565632000004</v>
      </c>
      <c r="DV239" s="913">
        <f>'[1]SOUHRN PN VLAKŮ'!G23</f>
        <v>45.835769548800016</v>
      </c>
      <c r="DW239" s="913">
        <f>'[1]SOUHRN PN VLAKŮ'!H23</f>
        <v>24.506786304000006</v>
      </c>
      <c r="DX239" s="914">
        <f>'[1]SOUHRN PN VLAKŮ'!I23</f>
        <v>56.463078672000023</v>
      </c>
    </row>
    <row r="240" spans="1:129" ht="15" thickBot="1" x14ac:dyDescent="0.3">
      <c r="A240" s="932"/>
      <c r="B240" s="932"/>
      <c r="C240" s="932"/>
      <c r="D240" s="932"/>
      <c r="E240" s="932"/>
      <c r="F240" s="932"/>
      <c r="DQ240" s="638" t="s">
        <v>919</v>
      </c>
      <c r="DR240" s="639"/>
      <c r="DS240" s="915" t="s">
        <v>536</v>
      </c>
      <c r="DT240" s="619">
        <f>DT239*(1+$AO$96)*(1+$AP$96)*(1+$AQ$96)</f>
        <v>21.189536601354217</v>
      </c>
      <c r="DU240" s="910">
        <f t="shared" ref="DU240:DX240" si="55">DU239*(1+$AO$96)*(1+$AP$96)*(1+$AQ$96)</f>
        <v>30.825763392687946</v>
      </c>
      <c r="DV240" s="910">
        <f t="shared" si="55"/>
        <v>48.784441440228555</v>
      </c>
      <c r="DW240" s="910">
        <f t="shared" si="55"/>
        <v>26.083338255351343</v>
      </c>
      <c r="DX240" s="911">
        <f t="shared" si="55"/>
        <v>60.095418537187335</v>
      </c>
    </row>
    <row r="241" spans="1:154" x14ac:dyDescent="0.25">
      <c r="A241" s="1182" t="s">
        <v>836</v>
      </c>
      <c r="B241" s="1182"/>
      <c r="C241" s="1182"/>
      <c r="D241" s="1182"/>
      <c r="E241" s="1182"/>
      <c r="F241" s="1182"/>
      <c r="EA241" s="2" t="s">
        <v>564</v>
      </c>
      <c r="EE241" s="2" t="s">
        <v>568</v>
      </c>
    </row>
    <row r="242" spans="1:154" ht="12" customHeight="1" x14ac:dyDescent="0.25">
      <c r="A242" s="929" t="s">
        <v>149</v>
      </c>
      <c r="B242" s="929" t="s">
        <v>830</v>
      </c>
      <c r="C242" s="931" t="s">
        <v>832</v>
      </c>
      <c r="D242" s="929" t="s">
        <v>334</v>
      </c>
      <c r="E242" s="929" t="s">
        <v>162</v>
      </c>
      <c r="F242" s="929" t="s">
        <v>163</v>
      </c>
      <c r="EA242" s="2" t="s">
        <v>565</v>
      </c>
      <c r="EE242" s="1103" t="s">
        <v>927</v>
      </c>
      <c r="EF242" s="1103"/>
      <c r="EG242" s="1103"/>
      <c r="EH242" s="1103" t="s">
        <v>928</v>
      </c>
      <c r="EI242" s="1103"/>
      <c r="EJ242" s="1103"/>
      <c r="EK242" s="1103" t="s">
        <v>931</v>
      </c>
      <c r="EL242" s="1103"/>
      <c r="EM242" s="1104"/>
      <c r="EN242" s="1103" t="s">
        <v>932</v>
      </c>
      <c r="EO242" s="1103"/>
      <c r="EP242" s="1103"/>
      <c r="EQ242" s="1103" t="s">
        <v>572</v>
      </c>
      <c r="ER242" s="1103"/>
      <c r="ES242" s="1103"/>
      <c r="ET242" s="1103" t="s">
        <v>573</v>
      </c>
      <c r="EU242" s="1103"/>
      <c r="EV242" s="1103"/>
    </row>
    <row r="243" spans="1:154" ht="12" customHeight="1" x14ac:dyDescent="0.25">
      <c r="A243" s="930" t="s">
        <v>215</v>
      </c>
      <c r="B243" s="931">
        <v>10</v>
      </c>
      <c r="C243" s="931">
        <v>10</v>
      </c>
      <c r="D243" s="929">
        <v>11</v>
      </c>
      <c r="E243" s="929">
        <v>8</v>
      </c>
      <c r="F243" s="929">
        <v>8</v>
      </c>
      <c r="EA243" s="724" t="s">
        <v>95</v>
      </c>
      <c r="EB243" s="724" t="s">
        <v>566</v>
      </c>
      <c r="EC243" s="724" t="s">
        <v>567</v>
      </c>
      <c r="ED243" s="724">
        <v>251</v>
      </c>
      <c r="EE243" s="727" t="s">
        <v>569</v>
      </c>
      <c r="EF243" s="320" t="s">
        <v>570</v>
      </c>
      <c r="EG243" s="320" t="s">
        <v>571</v>
      </c>
      <c r="EH243" s="320" t="s">
        <v>569</v>
      </c>
      <c r="EI243" s="320" t="s">
        <v>570</v>
      </c>
      <c r="EJ243" s="1047" t="s">
        <v>571</v>
      </c>
      <c r="EK243" s="320" t="s">
        <v>569</v>
      </c>
      <c r="EL243" s="320" t="s">
        <v>570</v>
      </c>
      <c r="EM243" s="586" t="s">
        <v>571</v>
      </c>
      <c r="EN243" s="320" t="s">
        <v>569</v>
      </c>
      <c r="EO243" s="320" t="s">
        <v>570</v>
      </c>
      <c r="EP243" s="320" t="s">
        <v>571</v>
      </c>
      <c r="EQ243" s="320" t="s">
        <v>569</v>
      </c>
      <c r="ER243" s="320" t="s">
        <v>570</v>
      </c>
      <c r="ES243" s="320" t="s">
        <v>571</v>
      </c>
      <c r="ET243" s="320" t="s">
        <v>569</v>
      </c>
      <c r="EU243" s="320" t="s">
        <v>570</v>
      </c>
      <c r="EV243" s="320" t="s">
        <v>571</v>
      </c>
    </row>
    <row r="244" spans="1:154" ht="12" customHeight="1" x14ac:dyDescent="0.25">
      <c r="A244" s="930" t="s">
        <v>152</v>
      </c>
      <c r="B244" s="929">
        <v>0</v>
      </c>
      <c r="C244" s="929">
        <v>0</v>
      </c>
      <c r="D244" s="929">
        <v>0</v>
      </c>
      <c r="E244" s="929">
        <v>0</v>
      </c>
      <c r="F244" s="929">
        <v>0</v>
      </c>
      <c r="EA244" s="724">
        <v>2026</v>
      </c>
      <c r="EB244" s="1048">
        <f>'[2]Úspora času'!CZ6</f>
        <v>50</v>
      </c>
      <c r="EC244" s="1043">
        <f>'[2]Úspora času'!DA6</f>
        <v>278</v>
      </c>
      <c r="ED244" s="1048">
        <f>'[2]Úspora času'!DQ6</f>
        <v>2</v>
      </c>
      <c r="EE244" s="1049">
        <f>$EE$276</f>
        <v>31730</v>
      </c>
      <c r="EF244" s="1044">
        <f>EE244/365*EW244+EE244/365*EC244*0.45</f>
        <v>15221.706849315069</v>
      </c>
      <c r="EG244" s="1045">
        <f>EE244-EF244</f>
        <v>16508.293150684931</v>
      </c>
      <c r="EH244" s="1044">
        <f>$EH$276</f>
        <v>7948</v>
      </c>
      <c r="EI244" s="1044">
        <f>EH244/365*EX244</f>
        <v>326.63013698630141</v>
      </c>
      <c r="EJ244" s="1045">
        <f>EH244-EI244</f>
        <v>7621.3698630136987</v>
      </c>
      <c r="EK244" s="1044">
        <f>$EK$276</f>
        <v>228</v>
      </c>
      <c r="EL244" s="1044">
        <f>EK244/365*EW244+EK244/365*EC244*0.45</f>
        <v>109.37753424657535</v>
      </c>
      <c r="EM244" s="1045">
        <f>EK244-EL244</f>
        <v>118.62246575342465</v>
      </c>
      <c r="EN244" s="1044">
        <f>$EN$276</f>
        <v>6944</v>
      </c>
      <c r="EO244" s="1044">
        <f>EN244/365*EB244</f>
        <v>951.23287671232879</v>
      </c>
      <c r="EP244" s="1045">
        <f>EN244-EO244</f>
        <v>5992.767123287671</v>
      </c>
      <c r="EQ244" s="1044">
        <f>$EQ$276</f>
        <v>10184</v>
      </c>
      <c r="ER244" s="1044">
        <f>EQ244/365*ED244</f>
        <v>55.802739726027397</v>
      </c>
      <c r="ES244" s="1045">
        <f>EQ244-ER244</f>
        <v>10128.197260273973</v>
      </c>
      <c r="ET244" s="1044">
        <f>$ET$276</f>
        <v>228</v>
      </c>
      <c r="EU244" s="1044">
        <f>ET244/365*ED244</f>
        <v>1.2493150684931507</v>
      </c>
      <c r="EV244" s="1045">
        <f>ET244-EU244</f>
        <v>226.75068493150684</v>
      </c>
      <c r="EW244" s="220">
        <f>'[2]Úspora času'!CZ6</f>
        <v>50</v>
      </c>
      <c r="EX244" s="220">
        <f>'[2]Úspora času'!DJ6</f>
        <v>15</v>
      </c>
    </row>
    <row r="245" spans="1:154" ht="12" customHeight="1" x14ac:dyDescent="0.25">
      <c r="A245" s="930" t="s">
        <v>153</v>
      </c>
      <c r="B245" s="929">
        <v>11</v>
      </c>
      <c r="C245" s="929">
        <v>11</v>
      </c>
      <c r="D245" s="929">
        <v>11</v>
      </c>
      <c r="E245" s="929">
        <v>9</v>
      </c>
      <c r="F245" s="929">
        <v>8</v>
      </c>
      <c r="EA245" s="724">
        <f>EA244+1</f>
        <v>2027</v>
      </c>
      <c r="EB245" s="1048">
        <f>'[2]Úspora času'!CZ7</f>
        <v>15</v>
      </c>
      <c r="EC245" s="1043">
        <f>'[2]Úspora času'!DA7</f>
        <v>0</v>
      </c>
      <c r="ED245" s="1048">
        <f>'[2]Úspora času'!DQ7</f>
        <v>0</v>
      </c>
      <c r="EE245" s="1049">
        <f t="shared" ref="EE245:EE272" si="56">$EE$276</f>
        <v>31730</v>
      </c>
      <c r="EF245" s="1044">
        <f t="shared" ref="EF245:EF272" si="57">EE245/365*EW245+EE245/365*EC245*0.45</f>
        <v>0</v>
      </c>
      <c r="EG245" s="1046">
        <f t="shared" ref="EG245:EG272" si="58">EE245-EF245</f>
        <v>31730</v>
      </c>
      <c r="EH245" s="1044">
        <f t="shared" ref="EH245:EH272" si="59">$EH$276</f>
        <v>7948</v>
      </c>
      <c r="EI245" s="1044">
        <f t="shared" ref="EI245:EI272" si="60">EH245/365*EX245</f>
        <v>326.63013698630141</v>
      </c>
      <c r="EJ245" s="1045">
        <f t="shared" ref="EJ245:EJ272" si="61">EH245-EI245</f>
        <v>7621.3698630136987</v>
      </c>
      <c r="EK245" s="1044">
        <f t="shared" ref="EK245:EK272" si="62">$EK$276</f>
        <v>228</v>
      </c>
      <c r="EL245" s="1044">
        <f t="shared" ref="EL245:EL272" si="63">EK245/365*EW245+EK245/365*EC245*0.45</f>
        <v>0</v>
      </c>
      <c r="EM245" s="1046">
        <f t="shared" ref="EM245:EM272" si="64">EK245-EL245</f>
        <v>228</v>
      </c>
      <c r="EN245" s="1044">
        <f t="shared" ref="EN245:EN272" si="65">$EN$276</f>
        <v>6944</v>
      </c>
      <c r="EO245" s="1044">
        <f t="shared" ref="EO245:EO272" si="66">EN245/365*EB245</f>
        <v>285.36986301369865</v>
      </c>
      <c r="EP245" s="1045">
        <f t="shared" ref="EP245:EP272" si="67">EN245-EO245</f>
        <v>6658.6301369863013</v>
      </c>
      <c r="EQ245" s="1044">
        <f t="shared" ref="EQ245:EQ272" si="68">$EQ$276</f>
        <v>10184</v>
      </c>
      <c r="ER245" s="1044">
        <f>EQ245/365*ED245</f>
        <v>0</v>
      </c>
      <c r="ES245" s="1046">
        <f t="shared" ref="ES245:ES272" si="69">EQ245-ER245</f>
        <v>10184</v>
      </c>
      <c r="ET245" s="1044">
        <f t="shared" ref="ET245:ET272" si="70">$ET$276</f>
        <v>228</v>
      </c>
      <c r="EU245" s="1044">
        <f t="shared" ref="EU245:EU272" si="71">ET245/365*ED245</f>
        <v>0</v>
      </c>
      <c r="EV245" s="1046">
        <f t="shared" ref="EV245:EV272" si="72">ET245-EU245</f>
        <v>228</v>
      </c>
      <c r="EW245" s="220"/>
      <c r="EX245" s="220">
        <f>'[2]Úspora času'!DJ7</f>
        <v>15</v>
      </c>
    </row>
    <row r="246" spans="1:154" x14ac:dyDescent="0.25">
      <c r="A246" s="933" t="s">
        <v>840</v>
      </c>
      <c r="EA246" s="1041">
        <f t="shared" ref="EA246:EA272" si="73">EA245+1</f>
        <v>2028</v>
      </c>
      <c r="EB246" s="1048">
        <f>'[2]Úspora času'!CZ8</f>
        <v>0</v>
      </c>
      <c r="EC246" s="1043">
        <f>'[2]Úspora času'!DA8</f>
        <v>0</v>
      </c>
      <c r="ED246" s="1048">
        <f>'[2]Úspora času'!DQ8</f>
        <v>5</v>
      </c>
      <c r="EE246" s="1049">
        <f t="shared" si="56"/>
        <v>31730</v>
      </c>
      <c r="EF246" s="1044">
        <f t="shared" si="57"/>
        <v>0</v>
      </c>
      <c r="EG246" s="1046">
        <f t="shared" si="58"/>
        <v>31730</v>
      </c>
      <c r="EH246" s="1044">
        <f t="shared" si="59"/>
        <v>7948</v>
      </c>
      <c r="EI246" s="1044">
        <f t="shared" si="60"/>
        <v>0</v>
      </c>
      <c r="EJ246" s="1046">
        <f t="shared" si="61"/>
        <v>7948</v>
      </c>
      <c r="EK246" s="1044">
        <f t="shared" si="62"/>
        <v>228</v>
      </c>
      <c r="EL246" s="1044">
        <f t="shared" si="63"/>
        <v>0</v>
      </c>
      <c r="EM246" s="1046">
        <f t="shared" si="64"/>
        <v>228</v>
      </c>
      <c r="EN246" s="1044">
        <f t="shared" si="65"/>
        <v>6944</v>
      </c>
      <c r="EO246" s="1044">
        <f t="shared" si="66"/>
        <v>0</v>
      </c>
      <c r="EP246" s="1046">
        <f t="shared" si="67"/>
        <v>6944</v>
      </c>
      <c r="EQ246" s="1044">
        <f t="shared" si="68"/>
        <v>10184</v>
      </c>
      <c r="ER246" s="1044">
        <f t="shared" ref="ER246:ER272" si="74">EQ246/365*ED246</f>
        <v>139.50684931506851</v>
      </c>
      <c r="ES246" s="1045">
        <f t="shared" si="69"/>
        <v>10044.493150684932</v>
      </c>
      <c r="ET246" s="1044">
        <f t="shared" si="70"/>
        <v>228</v>
      </c>
      <c r="EU246" s="1044">
        <f t="shared" si="71"/>
        <v>3.1232876712328768</v>
      </c>
      <c r="EV246" s="1045">
        <f t="shared" si="72"/>
        <v>224.87671232876713</v>
      </c>
      <c r="EW246" s="220"/>
      <c r="EX246" s="220">
        <f>'[2]Úspora času'!DJ8</f>
        <v>0</v>
      </c>
    </row>
    <row r="247" spans="1:154" ht="12" customHeight="1" x14ac:dyDescent="0.25">
      <c r="A247" s="1182" t="s">
        <v>841</v>
      </c>
      <c r="B247" s="1182"/>
      <c r="C247" s="1182"/>
      <c r="D247" s="1182"/>
      <c r="E247" s="1182"/>
      <c r="F247" s="1182"/>
      <c r="EA247" s="1041">
        <f t="shared" si="73"/>
        <v>2029</v>
      </c>
      <c r="EB247" s="1048">
        <f>'[2]Úspora času'!CZ9</f>
        <v>5</v>
      </c>
      <c r="EC247" s="1043">
        <f>'[2]Úspora času'!DA9</f>
        <v>0</v>
      </c>
      <c r="ED247" s="1048">
        <f>'[2]Úspora času'!DQ9</f>
        <v>8</v>
      </c>
      <c r="EE247" s="1049">
        <f t="shared" si="56"/>
        <v>31730</v>
      </c>
      <c r="EF247" s="1044">
        <f t="shared" si="57"/>
        <v>0</v>
      </c>
      <c r="EG247" s="1046">
        <f t="shared" si="58"/>
        <v>31730</v>
      </c>
      <c r="EH247" s="1044">
        <f t="shared" si="59"/>
        <v>7948</v>
      </c>
      <c r="EI247" s="1044">
        <f t="shared" si="60"/>
        <v>108.87671232876713</v>
      </c>
      <c r="EJ247" s="1045">
        <f t="shared" si="61"/>
        <v>7839.1232876712329</v>
      </c>
      <c r="EK247" s="1044">
        <f t="shared" si="62"/>
        <v>228</v>
      </c>
      <c r="EL247" s="1044">
        <f t="shared" si="63"/>
        <v>0</v>
      </c>
      <c r="EM247" s="1046">
        <f t="shared" si="64"/>
        <v>228</v>
      </c>
      <c r="EN247" s="1044">
        <f t="shared" si="65"/>
        <v>6944</v>
      </c>
      <c r="EO247" s="1044">
        <f t="shared" si="66"/>
        <v>95.123287671232873</v>
      </c>
      <c r="EP247" s="1045">
        <f t="shared" si="67"/>
        <v>6848.8767123287671</v>
      </c>
      <c r="EQ247" s="1044">
        <f t="shared" si="68"/>
        <v>10184</v>
      </c>
      <c r="ER247" s="1044">
        <f t="shared" si="74"/>
        <v>223.21095890410959</v>
      </c>
      <c r="ES247" s="1045">
        <f t="shared" si="69"/>
        <v>9960.7890410958898</v>
      </c>
      <c r="ET247" s="1044">
        <f t="shared" si="70"/>
        <v>228</v>
      </c>
      <c r="EU247" s="1044">
        <f t="shared" si="71"/>
        <v>4.9972602739726026</v>
      </c>
      <c r="EV247" s="1045">
        <f t="shared" si="72"/>
        <v>223.00273972602739</v>
      </c>
      <c r="EW247" s="220"/>
      <c r="EX247" s="220">
        <f>'[2]Úspora času'!DJ9</f>
        <v>5</v>
      </c>
    </row>
    <row r="248" spans="1:154" ht="12" customHeight="1" x14ac:dyDescent="0.25">
      <c r="A248" s="929" t="s">
        <v>149</v>
      </c>
      <c r="B248" s="929" t="s">
        <v>830</v>
      </c>
      <c r="C248" s="931" t="s">
        <v>832</v>
      </c>
      <c r="D248" s="929" t="s">
        <v>334</v>
      </c>
      <c r="E248" s="929" t="s">
        <v>162</v>
      </c>
      <c r="F248" s="929" t="s">
        <v>163</v>
      </c>
      <c r="EA248" s="1041">
        <f t="shared" si="73"/>
        <v>2030</v>
      </c>
      <c r="EB248" s="1048">
        <f>'[2]Úspora času'!CZ10</f>
        <v>50</v>
      </c>
      <c r="EC248" s="1043">
        <f>'[2]Úspora času'!DA10</f>
        <v>0</v>
      </c>
      <c r="ED248" s="1048">
        <f>'[2]Úspora času'!DQ10</f>
        <v>0</v>
      </c>
      <c r="EE248" s="1049">
        <f t="shared" si="56"/>
        <v>31730</v>
      </c>
      <c r="EF248" s="1044">
        <f t="shared" si="57"/>
        <v>4346.5753424657532</v>
      </c>
      <c r="EG248" s="1045">
        <f t="shared" si="58"/>
        <v>27383.424657534248</v>
      </c>
      <c r="EH248" s="1044">
        <f t="shared" si="59"/>
        <v>7948</v>
      </c>
      <c r="EI248" s="1044">
        <f t="shared" si="60"/>
        <v>217.75342465753425</v>
      </c>
      <c r="EJ248" s="1045">
        <f t="shared" si="61"/>
        <v>7730.2465753424658</v>
      </c>
      <c r="EK248" s="1044">
        <f t="shared" si="62"/>
        <v>228</v>
      </c>
      <c r="EL248" s="1044">
        <f t="shared" si="63"/>
        <v>31.232876712328768</v>
      </c>
      <c r="EM248" s="1045">
        <f t="shared" si="64"/>
        <v>196.76712328767124</v>
      </c>
      <c r="EN248" s="1044">
        <f t="shared" si="65"/>
        <v>6944</v>
      </c>
      <c r="EO248" s="1044">
        <f t="shared" si="66"/>
        <v>951.23287671232879</v>
      </c>
      <c r="EP248" s="1045">
        <f t="shared" si="67"/>
        <v>5992.767123287671</v>
      </c>
      <c r="EQ248" s="1044">
        <f t="shared" si="68"/>
        <v>10184</v>
      </c>
      <c r="ER248" s="1044">
        <f t="shared" si="74"/>
        <v>0</v>
      </c>
      <c r="ES248" s="1046">
        <f t="shared" si="69"/>
        <v>10184</v>
      </c>
      <c r="ET248" s="1044">
        <f t="shared" si="70"/>
        <v>228</v>
      </c>
      <c r="EU248" s="1044">
        <f t="shared" si="71"/>
        <v>0</v>
      </c>
      <c r="EV248" s="1046">
        <f t="shared" si="72"/>
        <v>228</v>
      </c>
      <c r="EW248" s="220">
        <f>'[2]Úspora času'!CZ10</f>
        <v>50</v>
      </c>
      <c r="EX248" s="220">
        <f>'[2]Úspora času'!DJ10</f>
        <v>10</v>
      </c>
    </row>
    <row r="249" spans="1:154" ht="12" customHeight="1" x14ac:dyDescent="0.25">
      <c r="A249" s="930" t="s">
        <v>152</v>
      </c>
      <c r="B249" s="929">
        <v>0</v>
      </c>
      <c r="C249" s="931">
        <v>0</v>
      </c>
      <c r="D249" s="929">
        <v>0</v>
      </c>
      <c r="E249" s="929">
        <v>1</v>
      </c>
      <c r="F249" s="929">
        <v>1</v>
      </c>
      <c r="EA249" s="1041">
        <f t="shared" si="73"/>
        <v>2031</v>
      </c>
      <c r="EB249" s="1048">
        <f>'[2]Úspora času'!CZ11</f>
        <v>0</v>
      </c>
      <c r="EC249" s="1043">
        <f>'[2]Úspora času'!DA11</f>
        <v>0</v>
      </c>
      <c r="ED249" s="1048">
        <f>'[2]Úspora času'!DQ11</f>
        <v>0</v>
      </c>
      <c r="EE249" s="1049">
        <f t="shared" si="56"/>
        <v>31730</v>
      </c>
      <c r="EF249" s="1044">
        <f t="shared" si="57"/>
        <v>0</v>
      </c>
      <c r="EG249" s="1046">
        <f t="shared" si="58"/>
        <v>31730</v>
      </c>
      <c r="EH249" s="1044">
        <f t="shared" si="59"/>
        <v>7948</v>
      </c>
      <c r="EI249" s="1044">
        <f t="shared" si="60"/>
        <v>0</v>
      </c>
      <c r="EJ249" s="1046">
        <f t="shared" si="61"/>
        <v>7948</v>
      </c>
      <c r="EK249" s="1044">
        <f t="shared" si="62"/>
        <v>228</v>
      </c>
      <c r="EL249" s="1044">
        <f t="shared" si="63"/>
        <v>0</v>
      </c>
      <c r="EM249" s="1046">
        <f t="shared" si="64"/>
        <v>228</v>
      </c>
      <c r="EN249" s="1044">
        <f t="shared" si="65"/>
        <v>6944</v>
      </c>
      <c r="EO249" s="1044">
        <f t="shared" si="66"/>
        <v>0</v>
      </c>
      <c r="EP249" s="1046">
        <f t="shared" si="67"/>
        <v>6944</v>
      </c>
      <c r="EQ249" s="1044">
        <f t="shared" si="68"/>
        <v>10184</v>
      </c>
      <c r="ER249" s="1044">
        <f t="shared" si="74"/>
        <v>0</v>
      </c>
      <c r="ES249" s="1046">
        <f t="shared" si="69"/>
        <v>10184</v>
      </c>
      <c r="ET249" s="1044">
        <f t="shared" si="70"/>
        <v>228</v>
      </c>
      <c r="EU249" s="1044">
        <f t="shared" si="71"/>
        <v>0</v>
      </c>
      <c r="EV249" s="1046">
        <f t="shared" si="72"/>
        <v>228</v>
      </c>
      <c r="EW249" s="220"/>
      <c r="EX249" s="220">
        <f>'[2]Úspora času'!DJ11</f>
        <v>0</v>
      </c>
    </row>
    <row r="250" spans="1:154" ht="12" customHeight="1" x14ac:dyDescent="0.25">
      <c r="A250" s="930" t="s">
        <v>153</v>
      </c>
      <c r="B250" s="929">
        <v>15</v>
      </c>
      <c r="C250" s="931">
        <v>15</v>
      </c>
      <c r="D250" s="929">
        <v>16</v>
      </c>
      <c r="E250" s="934" t="s">
        <v>845</v>
      </c>
      <c r="F250" s="934" t="s">
        <v>846</v>
      </c>
      <c r="EA250" s="1041">
        <f t="shared" si="73"/>
        <v>2032</v>
      </c>
      <c r="EB250" s="1048">
        <f>'[2]Úspora času'!CZ12</f>
        <v>0</v>
      </c>
      <c r="EC250" s="1043">
        <f>'[2]Úspora času'!DA12</f>
        <v>0</v>
      </c>
      <c r="ED250" s="1048">
        <f>'[2]Úspora času'!DQ12</f>
        <v>0</v>
      </c>
      <c r="EE250" s="1049">
        <f t="shared" si="56"/>
        <v>31730</v>
      </c>
      <c r="EF250" s="1044">
        <f t="shared" si="57"/>
        <v>0</v>
      </c>
      <c r="EG250" s="1046">
        <f t="shared" si="58"/>
        <v>31730</v>
      </c>
      <c r="EH250" s="1044">
        <f t="shared" si="59"/>
        <v>7948</v>
      </c>
      <c r="EI250" s="1044">
        <f t="shared" si="60"/>
        <v>0</v>
      </c>
      <c r="EJ250" s="1046">
        <f t="shared" si="61"/>
        <v>7948</v>
      </c>
      <c r="EK250" s="1044">
        <f t="shared" si="62"/>
        <v>228</v>
      </c>
      <c r="EL250" s="1044">
        <f t="shared" si="63"/>
        <v>0</v>
      </c>
      <c r="EM250" s="1046">
        <f t="shared" si="64"/>
        <v>228</v>
      </c>
      <c r="EN250" s="1044">
        <f t="shared" si="65"/>
        <v>6944</v>
      </c>
      <c r="EO250" s="1044">
        <f t="shared" si="66"/>
        <v>0</v>
      </c>
      <c r="EP250" s="1046">
        <f t="shared" si="67"/>
        <v>6944</v>
      </c>
      <c r="EQ250" s="1044">
        <f t="shared" si="68"/>
        <v>10184</v>
      </c>
      <c r="ER250" s="1044">
        <f t="shared" si="74"/>
        <v>0</v>
      </c>
      <c r="ES250" s="1046">
        <f t="shared" si="69"/>
        <v>10184</v>
      </c>
      <c r="ET250" s="1044">
        <f t="shared" si="70"/>
        <v>228</v>
      </c>
      <c r="EU250" s="1044">
        <f t="shared" si="71"/>
        <v>0</v>
      </c>
      <c r="EV250" s="1046">
        <f t="shared" si="72"/>
        <v>228</v>
      </c>
      <c r="EW250" s="220"/>
      <c r="EX250" s="220">
        <f>'[2]Úspora času'!DJ12</f>
        <v>0</v>
      </c>
    </row>
    <row r="251" spans="1:154" ht="13.5" customHeight="1" x14ac:dyDescent="0.25">
      <c r="EA251" s="1041">
        <f t="shared" si="73"/>
        <v>2033</v>
      </c>
      <c r="EB251" s="1048">
        <f>'[2]Úspora času'!CZ13</f>
        <v>6</v>
      </c>
      <c r="EC251" s="1043">
        <f>'[2]Úspora času'!DA13</f>
        <v>80</v>
      </c>
      <c r="ED251" s="1048">
        <f>'[2]Úspora času'!DQ13</f>
        <v>2</v>
      </c>
      <c r="EE251" s="1049">
        <f t="shared" si="56"/>
        <v>31730</v>
      </c>
      <c r="EF251" s="1044">
        <f t="shared" si="57"/>
        <v>3651.1232876712329</v>
      </c>
      <c r="EG251" s="1045">
        <f t="shared" si="58"/>
        <v>28078.876712328769</v>
      </c>
      <c r="EH251" s="1044">
        <f t="shared" si="59"/>
        <v>7948</v>
      </c>
      <c r="EI251" s="1044">
        <f t="shared" si="60"/>
        <v>130.65205479452055</v>
      </c>
      <c r="EJ251" s="1045">
        <f t="shared" si="61"/>
        <v>7817.3479452054798</v>
      </c>
      <c r="EK251" s="1044">
        <f t="shared" si="62"/>
        <v>228</v>
      </c>
      <c r="EL251" s="1044">
        <f t="shared" si="63"/>
        <v>26.235616438356168</v>
      </c>
      <c r="EM251" s="1045">
        <f t="shared" si="64"/>
        <v>201.76438356164383</v>
      </c>
      <c r="EN251" s="1044">
        <f t="shared" si="65"/>
        <v>6944</v>
      </c>
      <c r="EO251" s="1044">
        <f t="shared" si="66"/>
        <v>114.14794520547946</v>
      </c>
      <c r="EP251" s="1045">
        <f t="shared" si="67"/>
        <v>6829.8520547945209</v>
      </c>
      <c r="EQ251" s="1044">
        <f t="shared" si="68"/>
        <v>10184</v>
      </c>
      <c r="ER251" s="1044">
        <f t="shared" si="74"/>
        <v>55.802739726027397</v>
      </c>
      <c r="ES251" s="1045">
        <f t="shared" si="69"/>
        <v>10128.197260273973</v>
      </c>
      <c r="ET251" s="1044">
        <f t="shared" si="70"/>
        <v>228</v>
      </c>
      <c r="EU251" s="1044">
        <f t="shared" si="71"/>
        <v>1.2493150684931507</v>
      </c>
      <c r="EV251" s="1045">
        <f t="shared" si="72"/>
        <v>226.75068493150684</v>
      </c>
      <c r="EW251" s="220">
        <f>'[2]Úspora času'!CZ13</f>
        <v>6</v>
      </c>
      <c r="EX251" s="220">
        <f>'[2]Úspora času'!DJ13</f>
        <v>6</v>
      </c>
    </row>
    <row r="252" spans="1:154" ht="12" customHeight="1" x14ac:dyDescent="0.25">
      <c r="A252" s="1182" t="s">
        <v>842</v>
      </c>
      <c r="B252" s="1182"/>
      <c r="C252" s="1182"/>
      <c r="D252" s="1182"/>
      <c r="E252" s="1182"/>
      <c r="F252" s="1182"/>
      <c r="EA252" s="1041">
        <f t="shared" si="73"/>
        <v>2034</v>
      </c>
      <c r="EB252" s="1048">
        <f>'[2]Úspora času'!CZ14</f>
        <v>5</v>
      </c>
      <c r="EC252" s="1043">
        <f>'[2]Úspora času'!DA14</f>
        <v>0</v>
      </c>
      <c r="ED252" s="1048">
        <f>'[2]Úspora času'!DQ14</f>
        <v>0</v>
      </c>
      <c r="EE252" s="1049">
        <f t="shared" si="56"/>
        <v>31730</v>
      </c>
      <c r="EF252" s="1044">
        <f t="shared" si="57"/>
        <v>0</v>
      </c>
      <c r="EG252" s="1046">
        <f t="shared" si="58"/>
        <v>31730</v>
      </c>
      <c r="EH252" s="1044">
        <f t="shared" si="59"/>
        <v>7948</v>
      </c>
      <c r="EI252" s="1044">
        <f t="shared" si="60"/>
        <v>108.87671232876713</v>
      </c>
      <c r="EJ252" s="1045">
        <f t="shared" si="61"/>
        <v>7839.1232876712329</v>
      </c>
      <c r="EK252" s="1044">
        <f t="shared" si="62"/>
        <v>228</v>
      </c>
      <c r="EL252" s="1044">
        <f t="shared" si="63"/>
        <v>0</v>
      </c>
      <c r="EM252" s="1046">
        <f t="shared" si="64"/>
        <v>228</v>
      </c>
      <c r="EN252" s="1044">
        <f t="shared" si="65"/>
        <v>6944</v>
      </c>
      <c r="EO252" s="1044">
        <f t="shared" si="66"/>
        <v>95.123287671232873</v>
      </c>
      <c r="EP252" s="1045">
        <f t="shared" si="67"/>
        <v>6848.8767123287671</v>
      </c>
      <c r="EQ252" s="1044">
        <f t="shared" si="68"/>
        <v>10184</v>
      </c>
      <c r="ER252" s="1044">
        <f t="shared" si="74"/>
        <v>0</v>
      </c>
      <c r="ES252" s="1046">
        <f t="shared" si="69"/>
        <v>10184</v>
      </c>
      <c r="ET252" s="1044">
        <f t="shared" si="70"/>
        <v>228</v>
      </c>
      <c r="EU252" s="1044">
        <f t="shared" si="71"/>
        <v>0</v>
      </c>
      <c r="EV252" s="1046">
        <f t="shared" si="72"/>
        <v>228</v>
      </c>
      <c r="EW252" s="220"/>
      <c r="EX252" s="220">
        <f>'[2]Úspora času'!DJ14</f>
        <v>5</v>
      </c>
    </row>
    <row r="253" spans="1:154" ht="12" customHeight="1" x14ac:dyDescent="0.25">
      <c r="A253" s="929" t="s">
        <v>149</v>
      </c>
      <c r="B253" s="929" t="s">
        <v>830</v>
      </c>
      <c r="C253" s="931" t="s">
        <v>832</v>
      </c>
      <c r="D253" s="929" t="s">
        <v>334</v>
      </c>
      <c r="E253" s="929" t="s">
        <v>162</v>
      </c>
      <c r="F253" s="929" t="s">
        <v>163</v>
      </c>
      <c r="EA253" s="1041">
        <f t="shared" si="73"/>
        <v>2035</v>
      </c>
      <c r="EB253" s="1048">
        <f>'[2]Úspora času'!CZ15</f>
        <v>2</v>
      </c>
      <c r="EC253" s="1043">
        <f>'[2]Úspora času'!DA15</f>
        <v>100</v>
      </c>
      <c r="ED253" s="1048">
        <f>'[2]Úspora času'!DQ15</f>
        <v>7</v>
      </c>
      <c r="EE253" s="1049">
        <f t="shared" si="56"/>
        <v>31730</v>
      </c>
      <c r="EF253" s="1044">
        <f t="shared" si="57"/>
        <v>4085.7808219178082</v>
      </c>
      <c r="EG253" s="1045">
        <f t="shared" si="58"/>
        <v>27644.219178082192</v>
      </c>
      <c r="EH253" s="1044">
        <f t="shared" si="59"/>
        <v>7948</v>
      </c>
      <c r="EI253" s="1044">
        <f t="shared" si="60"/>
        <v>43.550684931506851</v>
      </c>
      <c r="EJ253" s="1045">
        <f t="shared" si="61"/>
        <v>7904.449315068493</v>
      </c>
      <c r="EK253" s="1044">
        <f t="shared" si="62"/>
        <v>228</v>
      </c>
      <c r="EL253" s="1044">
        <f t="shared" si="63"/>
        <v>29.358904109589041</v>
      </c>
      <c r="EM253" s="1045">
        <f t="shared" si="64"/>
        <v>198.64109589041095</v>
      </c>
      <c r="EN253" s="1044">
        <f t="shared" si="65"/>
        <v>6944</v>
      </c>
      <c r="EO253" s="1044">
        <f t="shared" si="66"/>
        <v>38.049315068493151</v>
      </c>
      <c r="EP253" s="1045">
        <f t="shared" si="67"/>
        <v>6905.9506849315067</v>
      </c>
      <c r="EQ253" s="1044">
        <f t="shared" si="68"/>
        <v>10184</v>
      </c>
      <c r="ER253" s="1044">
        <f t="shared" si="74"/>
        <v>195.30958904109588</v>
      </c>
      <c r="ES253" s="1045">
        <f t="shared" si="69"/>
        <v>9988.690410958905</v>
      </c>
      <c r="ET253" s="1044">
        <f t="shared" si="70"/>
        <v>228</v>
      </c>
      <c r="EU253" s="1044">
        <f t="shared" si="71"/>
        <v>4.3726027397260276</v>
      </c>
      <c r="EV253" s="1045">
        <f t="shared" si="72"/>
        <v>223.62739726027397</v>
      </c>
      <c r="EW253" s="220">
        <f>'[2]Úspora času'!CZ15</f>
        <v>2</v>
      </c>
      <c r="EX253" s="220">
        <f>'[2]Úspora času'!DJ15</f>
        <v>2</v>
      </c>
    </row>
    <row r="254" spans="1:154" ht="12" customHeight="1" x14ac:dyDescent="0.25">
      <c r="A254" s="930" t="s">
        <v>152</v>
      </c>
      <c r="B254" s="929">
        <v>0</v>
      </c>
      <c r="C254" s="931">
        <v>0</v>
      </c>
      <c r="D254" s="929">
        <v>0</v>
      </c>
      <c r="E254" s="929">
        <v>1</v>
      </c>
      <c r="F254" s="929">
        <v>1</v>
      </c>
      <c r="EA254" s="1041">
        <f t="shared" si="73"/>
        <v>2036</v>
      </c>
      <c r="EB254" s="1048">
        <f>'[2]Úspora času'!CZ16</f>
        <v>1</v>
      </c>
      <c r="EC254" s="1043">
        <f>'[2]Úspora času'!DA16</f>
        <v>0</v>
      </c>
      <c r="ED254" s="1048">
        <f>'[2]Úspora času'!DQ16</f>
        <v>6</v>
      </c>
      <c r="EE254" s="1049">
        <f t="shared" si="56"/>
        <v>31730</v>
      </c>
      <c r="EF254" s="1044">
        <f t="shared" si="57"/>
        <v>0</v>
      </c>
      <c r="EG254" s="1046">
        <f t="shared" si="58"/>
        <v>31730</v>
      </c>
      <c r="EH254" s="1044">
        <f t="shared" si="59"/>
        <v>7948</v>
      </c>
      <c r="EI254" s="1044">
        <f t="shared" si="60"/>
        <v>21.775342465753425</v>
      </c>
      <c r="EJ254" s="1045">
        <f t="shared" si="61"/>
        <v>7926.2246575342469</v>
      </c>
      <c r="EK254" s="1044">
        <f t="shared" si="62"/>
        <v>228</v>
      </c>
      <c r="EL254" s="1044">
        <f t="shared" si="63"/>
        <v>0</v>
      </c>
      <c r="EM254" s="1046">
        <f t="shared" si="64"/>
        <v>228</v>
      </c>
      <c r="EN254" s="1044">
        <f t="shared" si="65"/>
        <v>6944</v>
      </c>
      <c r="EO254" s="1044">
        <f t="shared" si="66"/>
        <v>19.024657534246575</v>
      </c>
      <c r="EP254" s="1045">
        <f t="shared" si="67"/>
        <v>6924.9753424657538</v>
      </c>
      <c r="EQ254" s="1044">
        <f t="shared" si="68"/>
        <v>10184</v>
      </c>
      <c r="ER254" s="1044">
        <f t="shared" si="74"/>
        <v>167.40821917808219</v>
      </c>
      <c r="ES254" s="1045">
        <f t="shared" si="69"/>
        <v>10016.591780821918</v>
      </c>
      <c r="ET254" s="1044">
        <f t="shared" si="70"/>
        <v>228</v>
      </c>
      <c r="EU254" s="1044">
        <f t="shared" si="71"/>
        <v>3.7479452054794518</v>
      </c>
      <c r="EV254" s="1045">
        <f t="shared" si="72"/>
        <v>224.25205479452055</v>
      </c>
      <c r="EW254" s="220"/>
      <c r="EX254" s="220">
        <f>'[2]Úspora času'!DJ16</f>
        <v>1</v>
      </c>
    </row>
    <row r="255" spans="1:154" ht="12" customHeight="1" x14ac:dyDescent="0.25">
      <c r="A255" s="930" t="s">
        <v>153</v>
      </c>
      <c r="B255" s="929">
        <v>15</v>
      </c>
      <c r="C255" s="931">
        <v>15</v>
      </c>
      <c r="D255" s="929">
        <v>15</v>
      </c>
      <c r="E255" s="934" t="s">
        <v>843</v>
      </c>
      <c r="F255" s="934" t="s">
        <v>844</v>
      </c>
      <c r="EA255" s="1041">
        <f t="shared" si="73"/>
        <v>2037</v>
      </c>
      <c r="EB255" s="1048">
        <f>'[2]Úspora času'!CZ17</f>
        <v>2</v>
      </c>
      <c r="EC255" s="1043">
        <f>'[2]Úspora času'!DA17</f>
        <v>0</v>
      </c>
      <c r="ED255" s="1048">
        <f>'[2]Úspora času'!DQ17</f>
        <v>0</v>
      </c>
      <c r="EE255" s="1049">
        <f t="shared" si="56"/>
        <v>31730</v>
      </c>
      <c r="EF255" s="1044">
        <f t="shared" si="57"/>
        <v>0</v>
      </c>
      <c r="EG255" s="1046">
        <f t="shared" si="58"/>
        <v>31730</v>
      </c>
      <c r="EH255" s="1044">
        <f t="shared" si="59"/>
        <v>7948</v>
      </c>
      <c r="EI255" s="1044">
        <f t="shared" si="60"/>
        <v>43.550684931506851</v>
      </c>
      <c r="EJ255" s="1045">
        <f t="shared" si="61"/>
        <v>7904.449315068493</v>
      </c>
      <c r="EK255" s="1044">
        <f t="shared" si="62"/>
        <v>228</v>
      </c>
      <c r="EL255" s="1044">
        <f t="shared" si="63"/>
        <v>0</v>
      </c>
      <c r="EM255" s="1046">
        <f t="shared" si="64"/>
        <v>228</v>
      </c>
      <c r="EN255" s="1044">
        <f t="shared" si="65"/>
        <v>6944</v>
      </c>
      <c r="EO255" s="1044">
        <f t="shared" si="66"/>
        <v>38.049315068493151</v>
      </c>
      <c r="EP255" s="1045">
        <f t="shared" si="67"/>
        <v>6905.9506849315067</v>
      </c>
      <c r="EQ255" s="1044">
        <f t="shared" si="68"/>
        <v>10184</v>
      </c>
      <c r="ER255" s="1044">
        <f t="shared" si="74"/>
        <v>0</v>
      </c>
      <c r="ES255" s="1046">
        <f t="shared" si="69"/>
        <v>10184</v>
      </c>
      <c r="ET255" s="1044">
        <f t="shared" si="70"/>
        <v>228</v>
      </c>
      <c r="EU255" s="1044">
        <f t="shared" si="71"/>
        <v>0</v>
      </c>
      <c r="EV255" s="1046">
        <f t="shared" si="72"/>
        <v>228</v>
      </c>
      <c r="EW255" s="220"/>
      <c r="EX255" s="220">
        <f>'[2]Úspora času'!DJ17</f>
        <v>2</v>
      </c>
    </row>
    <row r="256" spans="1:154" x14ac:dyDescent="0.25">
      <c r="A256" s="933" t="s">
        <v>847</v>
      </c>
      <c r="EA256" s="1041">
        <f t="shared" si="73"/>
        <v>2038</v>
      </c>
      <c r="EB256" s="1048">
        <f>'[2]Úspora času'!CZ18</f>
        <v>0</v>
      </c>
      <c r="EC256" s="1043">
        <f>'[2]Úspora času'!DA18</f>
        <v>0</v>
      </c>
      <c r="ED256" s="1048">
        <f>'[2]Úspora času'!DQ18</f>
        <v>0</v>
      </c>
      <c r="EE256" s="1049">
        <f t="shared" si="56"/>
        <v>31730</v>
      </c>
      <c r="EF256" s="1044">
        <f t="shared" si="57"/>
        <v>0</v>
      </c>
      <c r="EG256" s="1046">
        <f t="shared" si="58"/>
        <v>31730</v>
      </c>
      <c r="EH256" s="1044">
        <f t="shared" si="59"/>
        <v>7948</v>
      </c>
      <c r="EI256" s="1044">
        <f t="shared" si="60"/>
        <v>0</v>
      </c>
      <c r="EJ256" s="1046">
        <f t="shared" si="61"/>
        <v>7948</v>
      </c>
      <c r="EK256" s="1044">
        <f t="shared" si="62"/>
        <v>228</v>
      </c>
      <c r="EL256" s="1044">
        <f t="shared" si="63"/>
        <v>0</v>
      </c>
      <c r="EM256" s="1046">
        <f t="shared" si="64"/>
        <v>228</v>
      </c>
      <c r="EN256" s="1044">
        <f t="shared" si="65"/>
        <v>6944</v>
      </c>
      <c r="EO256" s="1044">
        <f t="shared" si="66"/>
        <v>0</v>
      </c>
      <c r="EP256" s="1046">
        <f t="shared" si="67"/>
        <v>6944</v>
      </c>
      <c r="EQ256" s="1044">
        <f t="shared" si="68"/>
        <v>10184</v>
      </c>
      <c r="ER256" s="1044">
        <f t="shared" si="74"/>
        <v>0</v>
      </c>
      <c r="ES256" s="1046">
        <f t="shared" si="69"/>
        <v>10184</v>
      </c>
      <c r="ET256" s="1044">
        <f t="shared" si="70"/>
        <v>228</v>
      </c>
      <c r="EU256" s="1044">
        <f t="shared" si="71"/>
        <v>0</v>
      </c>
      <c r="EV256" s="1046">
        <f t="shared" si="72"/>
        <v>228</v>
      </c>
      <c r="EW256" s="220"/>
      <c r="EX256" s="220">
        <f>'[2]Úspora času'!DJ18</f>
        <v>0</v>
      </c>
    </row>
    <row r="257" spans="1:154" ht="12" customHeight="1" x14ac:dyDescent="0.25">
      <c r="A257" s="1182" t="s">
        <v>315</v>
      </c>
      <c r="B257" s="1182"/>
      <c r="C257" s="1182"/>
      <c r="D257" s="1182"/>
      <c r="E257" s="1182"/>
      <c r="F257" s="1182"/>
      <c r="EA257" s="1041">
        <f t="shared" si="73"/>
        <v>2039</v>
      </c>
      <c r="EB257" s="1048">
        <f>'[2]Úspora času'!CZ19</f>
        <v>5</v>
      </c>
      <c r="EC257" s="1043">
        <f>'[2]Úspora času'!DA19</f>
        <v>0</v>
      </c>
      <c r="ED257" s="1048">
        <f>'[2]Úspora času'!DQ19</f>
        <v>0</v>
      </c>
      <c r="EE257" s="1049">
        <f t="shared" si="56"/>
        <v>31730</v>
      </c>
      <c r="EF257" s="1044">
        <f t="shared" si="57"/>
        <v>434.65753424657532</v>
      </c>
      <c r="EG257" s="1045">
        <f t="shared" si="58"/>
        <v>31295.342465753423</v>
      </c>
      <c r="EH257" s="1044">
        <f t="shared" si="59"/>
        <v>7948</v>
      </c>
      <c r="EI257" s="1044">
        <f t="shared" si="60"/>
        <v>108.87671232876713</v>
      </c>
      <c r="EJ257" s="1045">
        <f t="shared" si="61"/>
        <v>7839.1232876712329</v>
      </c>
      <c r="EK257" s="1044">
        <f t="shared" si="62"/>
        <v>228</v>
      </c>
      <c r="EL257" s="1044">
        <f t="shared" si="63"/>
        <v>3.1232876712328768</v>
      </c>
      <c r="EM257" s="1045">
        <f t="shared" si="64"/>
        <v>224.87671232876713</v>
      </c>
      <c r="EN257" s="1044">
        <f t="shared" si="65"/>
        <v>6944</v>
      </c>
      <c r="EO257" s="1044">
        <f t="shared" si="66"/>
        <v>95.123287671232873</v>
      </c>
      <c r="EP257" s="1045">
        <f t="shared" si="67"/>
        <v>6848.8767123287671</v>
      </c>
      <c r="EQ257" s="1044">
        <f t="shared" si="68"/>
        <v>10184</v>
      </c>
      <c r="ER257" s="1044">
        <f t="shared" si="74"/>
        <v>0</v>
      </c>
      <c r="ES257" s="1046">
        <f t="shared" si="69"/>
        <v>10184</v>
      </c>
      <c r="ET257" s="1044">
        <f t="shared" si="70"/>
        <v>228</v>
      </c>
      <c r="EU257" s="1044">
        <f t="shared" si="71"/>
        <v>0</v>
      </c>
      <c r="EV257" s="1046">
        <f t="shared" si="72"/>
        <v>228</v>
      </c>
      <c r="EW257" s="220">
        <f>'[2]Úspora času'!CZ19</f>
        <v>5</v>
      </c>
      <c r="EX257" s="220">
        <f>'[2]Úspora času'!DJ19</f>
        <v>5</v>
      </c>
    </row>
    <row r="258" spans="1:154" ht="12" customHeight="1" x14ac:dyDescent="0.25">
      <c r="A258" s="1071"/>
      <c r="B258" s="1071"/>
      <c r="C258" s="1071" t="s">
        <v>848</v>
      </c>
      <c r="D258" s="1071"/>
      <c r="E258" s="1071"/>
      <c r="F258" s="1071"/>
      <c r="EA258" s="1041">
        <f t="shared" si="73"/>
        <v>2040</v>
      </c>
      <c r="EB258" s="1048">
        <f>'[2]Úspora času'!CZ20</f>
        <v>12</v>
      </c>
      <c r="EC258" s="1043">
        <f>'[2]Úspora času'!DA20</f>
        <v>160</v>
      </c>
      <c r="ED258" s="1048">
        <f>'[2]Úspora času'!DQ20</f>
        <v>1</v>
      </c>
      <c r="EE258" s="1049">
        <f t="shared" si="56"/>
        <v>31730</v>
      </c>
      <c r="EF258" s="1044">
        <f t="shared" si="57"/>
        <v>7302.2465753424658</v>
      </c>
      <c r="EG258" s="1045">
        <f t="shared" si="58"/>
        <v>24427.753424657534</v>
      </c>
      <c r="EH258" s="1044">
        <f t="shared" si="59"/>
        <v>7948</v>
      </c>
      <c r="EI258" s="1044">
        <f t="shared" si="60"/>
        <v>0</v>
      </c>
      <c r="EJ258" s="1046">
        <f t="shared" si="61"/>
        <v>7948</v>
      </c>
      <c r="EK258" s="1044">
        <f t="shared" si="62"/>
        <v>228</v>
      </c>
      <c r="EL258" s="1044">
        <f t="shared" si="63"/>
        <v>52.471232876712335</v>
      </c>
      <c r="EM258" s="1045">
        <f t="shared" si="64"/>
        <v>175.52876712328765</v>
      </c>
      <c r="EN258" s="1044">
        <f t="shared" si="65"/>
        <v>6944</v>
      </c>
      <c r="EO258" s="1044">
        <f t="shared" si="66"/>
        <v>228.29589041095892</v>
      </c>
      <c r="EP258" s="1045">
        <f t="shared" si="67"/>
        <v>6715.7041095890409</v>
      </c>
      <c r="EQ258" s="1044">
        <f t="shared" si="68"/>
        <v>10184</v>
      </c>
      <c r="ER258" s="1044">
        <f t="shared" si="74"/>
        <v>27.901369863013699</v>
      </c>
      <c r="ES258" s="1045">
        <f t="shared" si="69"/>
        <v>10156.098630136987</v>
      </c>
      <c r="ET258" s="1044">
        <f t="shared" si="70"/>
        <v>228</v>
      </c>
      <c r="EU258" s="1044">
        <f t="shared" si="71"/>
        <v>0.62465753424657533</v>
      </c>
      <c r="EV258" s="1045">
        <f t="shared" si="72"/>
        <v>227.37534246575342</v>
      </c>
      <c r="EW258" s="220">
        <f>'[2]Úspora času'!CZ20</f>
        <v>12</v>
      </c>
      <c r="EX258" s="220">
        <f>'[2]Úspora času'!DJ20</f>
        <v>0</v>
      </c>
    </row>
    <row r="259" spans="1:154" ht="12" customHeight="1" x14ac:dyDescent="0.25">
      <c r="A259" s="1071"/>
      <c r="B259" s="1071"/>
      <c r="C259" s="931" t="s">
        <v>849</v>
      </c>
      <c r="D259" s="936" t="s">
        <v>850</v>
      </c>
      <c r="E259" s="936" t="s">
        <v>851</v>
      </c>
      <c r="F259" s="936" t="s">
        <v>852</v>
      </c>
      <c r="EA259" s="1041">
        <f t="shared" si="73"/>
        <v>2041</v>
      </c>
      <c r="EB259" s="1048">
        <f>'[2]Úspora času'!CZ21</f>
        <v>20</v>
      </c>
      <c r="EC259" s="1043">
        <f>'[2]Úspora času'!DA21</f>
        <v>0</v>
      </c>
      <c r="ED259" s="1048">
        <f>'[2]Úspora času'!DQ21</f>
        <v>5</v>
      </c>
      <c r="EE259" s="1049">
        <f t="shared" si="56"/>
        <v>31730</v>
      </c>
      <c r="EF259" s="1044">
        <f t="shared" si="57"/>
        <v>0</v>
      </c>
      <c r="EG259" s="1046">
        <f t="shared" si="58"/>
        <v>31730</v>
      </c>
      <c r="EH259" s="1044">
        <f t="shared" si="59"/>
        <v>7948</v>
      </c>
      <c r="EI259" s="1044">
        <f t="shared" si="60"/>
        <v>435.50684931506851</v>
      </c>
      <c r="EJ259" s="1045">
        <f t="shared" si="61"/>
        <v>7512.4931506849316</v>
      </c>
      <c r="EK259" s="1044">
        <f t="shared" si="62"/>
        <v>228</v>
      </c>
      <c r="EL259" s="1044">
        <f t="shared" si="63"/>
        <v>0</v>
      </c>
      <c r="EM259" s="1046">
        <f t="shared" si="64"/>
        <v>228</v>
      </c>
      <c r="EN259" s="1044">
        <f t="shared" si="65"/>
        <v>6944</v>
      </c>
      <c r="EO259" s="1044">
        <f t="shared" si="66"/>
        <v>380.49315068493149</v>
      </c>
      <c r="EP259" s="1045">
        <f t="shared" si="67"/>
        <v>6563.5068493150684</v>
      </c>
      <c r="EQ259" s="1044">
        <f t="shared" si="68"/>
        <v>10184</v>
      </c>
      <c r="ER259" s="1044">
        <f t="shared" si="74"/>
        <v>139.50684931506851</v>
      </c>
      <c r="ES259" s="1045">
        <f t="shared" si="69"/>
        <v>10044.493150684932</v>
      </c>
      <c r="ET259" s="1044">
        <f t="shared" si="70"/>
        <v>228</v>
      </c>
      <c r="EU259" s="1044">
        <f t="shared" si="71"/>
        <v>3.1232876712328768</v>
      </c>
      <c r="EV259" s="1045">
        <f t="shared" si="72"/>
        <v>224.87671232876713</v>
      </c>
      <c r="EW259" s="220"/>
      <c r="EX259" s="220">
        <f>'[2]Úspora času'!DJ21</f>
        <v>20</v>
      </c>
    </row>
    <row r="260" spans="1:154" ht="12" customHeight="1" x14ac:dyDescent="0.25">
      <c r="A260" s="1078" t="s">
        <v>853</v>
      </c>
      <c r="B260" s="1078"/>
      <c r="C260" s="931">
        <v>51</v>
      </c>
      <c r="D260" s="931">
        <v>51</v>
      </c>
      <c r="E260" s="931">
        <v>28</v>
      </c>
      <c r="F260" s="931">
        <v>26</v>
      </c>
      <c r="EA260" s="1041">
        <f t="shared" si="73"/>
        <v>2042</v>
      </c>
      <c r="EB260" s="1048">
        <f>'[2]Úspora času'!CZ22</f>
        <v>0</v>
      </c>
      <c r="EC260" s="1043">
        <f>'[2]Úspora času'!DA22</f>
        <v>0</v>
      </c>
      <c r="ED260" s="1048">
        <f>'[2]Úspora času'!DQ22</f>
        <v>3</v>
      </c>
      <c r="EE260" s="1049">
        <f t="shared" si="56"/>
        <v>31730</v>
      </c>
      <c r="EF260" s="1044">
        <f t="shared" si="57"/>
        <v>0</v>
      </c>
      <c r="EG260" s="1046">
        <f t="shared" si="58"/>
        <v>31730</v>
      </c>
      <c r="EH260" s="1044">
        <f t="shared" si="59"/>
        <v>7948</v>
      </c>
      <c r="EI260" s="1044">
        <f t="shared" si="60"/>
        <v>0</v>
      </c>
      <c r="EJ260" s="1046">
        <f t="shared" si="61"/>
        <v>7948</v>
      </c>
      <c r="EK260" s="1044">
        <f t="shared" si="62"/>
        <v>228</v>
      </c>
      <c r="EL260" s="1044">
        <f t="shared" si="63"/>
        <v>0</v>
      </c>
      <c r="EM260" s="1046">
        <f t="shared" si="64"/>
        <v>228</v>
      </c>
      <c r="EN260" s="1044">
        <f t="shared" si="65"/>
        <v>6944</v>
      </c>
      <c r="EO260" s="1044">
        <f t="shared" si="66"/>
        <v>0</v>
      </c>
      <c r="EP260" s="1046">
        <f t="shared" si="67"/>
        <v>6944</v>
      </c>
      <c r="EQ260" s="1044">
        <f t="shared" si="68"/>
        <v>10184</v>
      </c>
      <c r="ER260" s="1044">
        <f t="shared" si="74"/>
        <v>83.704109589041096</v>
      </c>
      <c r="ES260" s="1045">
        <f t="shared" si="69"/>
        <v>10100.295890410958</v>
      </c>
      <c r="ET260" s="1044">
        <f t="shared" si="70"/>
        <v>228</v>
      </c>
      <c r="EU260" s="1044">
        <f t="shared" si="71"/>
        <v>1.8739726027397259</v>
      </c>
      <c r="EV260" s="1045">
        <f t="shared" si="72"/>
        <v>226.12602739726029</v>
      </c>
      <c r="EW260" s="220"/>
      <c r="EX260" s="220">
        <f>'[2]Úspora času'!DJ22</f>
        <v>0</v>
      </c>
    </row>
    <row r="261" spans="1:154" ht="12" customHeight="1" x14ac:dyDescent="0.25">
      <c r="A261" s="1078" t="s">
        <v>854</v>
      </c>
      <c r="B261" s="1078"/>
      <c r="C261" s="931" t="s">
        <v>856</v>
      </c>
      <c r="D261" s="931">
        <v>11</v>
      </c>
      <c r="E261" s="931" t="s">
        <v>844</v>
      </c>
      <c r="F261" s="931">
        <v>8</v>
      </c>
      <c r="EA261" s="1041">
        <f t="shared" si="73"/>
        <v>2043</v>
      </c>
      <c r="EB261" s="1048">
        <f>'[2]Úspora času'!CZ23</f>
        <v>5</v>
      </c>
      <c r="EC261" s="1043">
        <f>'[2]Úspora času'!DA23</f>
        <v>0</v>
      </c>
      <c r="ED261" s="1048">
        <f>'[2]Úspora času'!DQ23</f>
        <v>10</v>
      </c>
      <c r="EE261" s="1049">
        <f t="shared" si="56"/>
        <v>31730</v>
      </c>
      <c r="EF261" s="1044">
        <f t="shared" si="57"/>
        <v>0</v>
      </c>
      <c r="EG261" s="1046">
        <f t="shared" si="58"/>
        <v>31730</v>
      </c>
      <c r="EH261" s="1044">
        <f t="shared" si="59"/>
        <v>7948</v>
      </c>
      <c r="EI261" s="1044">
        <f t="shared" si="60"/>
        <v>108.87671232876713</v>
      </c>
      <c r="EJ261" s="1045">
        <f t="shared" si="61"/>
        <v>7839.1232876712329</v>
      </c>
      <c r="EK261" s="1044">
        <f t="shared" si="62"/>
        <v>228</v>
      </c>
      <c r="EL261" s="1044">
        <f t="shared" si="63"/>
        <v>0</v>
      </c>
      <c r="EM261" s="1046">
        <f t="shared" si="64"/>
        <v>228</v>
      </c>
      <c r="EN261" s="1044">
        <f t="shared" si="65"/>
        <v>6944</v>
      </c>
      <c r="EO261" s="1044">
        <f t="shared" si="66"/>
        <v>95.123287671232873</v>
      </c>
      <c r="EP261" s="1045">
        <f t="shared" si="67"/>
        <v>6848.8767123287671</v>
      </c>
      <c r="EQ261" s="1044">
        <f t="shared" si="68"/>
        <v>10184</v>
      </c>
      <c r="ER261" s="1044">
        <f t="shared" si="74"/>
        <v>279.01369863013701</v>
      </c>
      <c r="ES261" s="1045">
        <f t="shared" si="69"/>
        <v>9904.9863013698632</v>
      </c>
      <c r="ET261" s="1044">
        <f t="shared" si="70"/>
        <v>228</v>
      </c>
      <c r="EU261" s="1044">
        <f t="shared" si="71"/>
        <v>6.2465753424657535</v>
      </c>
      <c r="EV261" s="1045">
        <f t="shared" si="72"/>
        <v>221.75342465753425</v>
      </c>
      <c r="EW261" s="220"/>
      <c r="EX261" s="220">
        <f>'[2]Úspora času'!DJ23</f>
        <v>5</v>
      </c>
    </row>
    <row r="262" spans="1:154" ht="12" customHeight="1" x14ac:dyDescent="0.25">
      <c r="A262" s="1078" t="s">
        <v>855</v>
      </c>
      <c r="B262" s="1078"/>
      <c r="C262" s="931">
        <v>16</v>
      </c>
      <c r="D262" s="931">
        <v>16</v>
      </c>
      <c r="E262" s="931" t="s">
        <v>857</v>
      </c>
      <c r="F262" s="931" t="s">
        <v>858</v>
      </c>
      <c r="EA262" s="1041">
        <f t="shared" si="73"/>
        <v>2044</v>
      </c>
      <c r="EB262" s="1048">
        <f>'[2]Úspora času'!CZ24</f>
        <v>2</v>
      </c>
      <c r="EC262" s="1043">
        <f>'[2]Úspora času'!DA24</f>
        <v>0</v>
      </c>
      <c r="ED262" s="1048">
        <f>'[2]Úspora času'!DQ24</f>
        <v>2</v>
      </c>
      <c r="EE262" s="1049">
        <f t="shared" si="56"/>
        <v>31730</v>
      </c>
      <c r="EF262" s="1044">
        <f t="shared" si="57"/>
        <v>0</v>
      </c>
      <c r="EG262" s="1046">
        <f t="shared" si="58"/>
        <v>31730</v>
      </c>
      <c r="EH262" s="1044">
        <f t="shared" si="59"/>
        <v>7948</v>
      </c>
      <c r="EI262" s="1044">
        <f t="shared" si="60"/>
        <v>43.550684931506851</v>
      </c>
      <c r="EJ262" s="1045">
        <f t="shared" si="61"/>
        <v>7904.449315068493</v>
      </c>
      <c r="EK262" s="1044">
        <f t="shared" si="62"/>
        <v>228</v>
      </c>
      <c r="EL262" s="1044">
        <f t="shared" si="63"/>
        <v>0</v>
      </c>
      <c r="EM262" s="1046">
        <f t="shared" si="64"/>
        <v>228</v>
      </c>
      <c r="EN262" s="1044">
        <f t="shared" si="65"/>
        <v>6944</v>
      </c>
      <c r="EO262" s="1044">
        <f t="shared" si="66"/>
        <v>38.049315068493151</v>
      </c>
      <c r="EP262" s="1045">
        <f t="shared" si="67"/>
        <v>6905.9506849315067</v>
      </c>
      <c r="EQ262" s="1044">
        <f t="shared" si="68"/>
        <v>10184</v>
      </c>
      <c r="ER262" s="1044">
        <f t="shared" si="74"/>
        <v>55.802739726027397</v>
      </c>
      <c r="ES262" s="1045">
        <f t="shared" si="69"/>
        <v>10128.197260273973</v>
      </c>
      <c r="ET262" s="1044">
        <f t="shared" si="70"/>
        <v>228</v>
      </c>
      <c r="EU262" s="1044">
        <f t="shared" si="71"/>
        <v>1.2493150684931507</v>
      </c>
      <c r="EV262" s="1045">
        <f t="shared" si="72"/>
        <v>226.75068493150684</v>
      </c>
      <c r="EW262" s="220"/>
      <c r="EX262" s="220">
        <f>'[2]Úspora času'!DJ24</f>
        <v>2</v>
      </c>
    </row>
    <row r="263" spans="1:154" x14ac:dyDescent="0.25">
      <c r="EA263" s="1041">
        <f t="shared" si="73"/>
        <v>2045</v>
      </c>
      <c r="EB263" s="1048">
        <f>'[2]Úspora času'!CZ25</f>
        <v>5</v>
      </c>
      <c r="EC263" s="1043">
        <f>'[2]Úspora času'!DA25</f>
        <v>0</v>
      </c>
      <c r="ED263" s="1048">
        <f>'[2]Úspora času'!DQ25</f>
        <v>2</v>
      </c>
      <c r="EE263" s="1049">
        <f t="shared" si="56"/>
        <v>31730</v>
      </c>
      <c r="EF263" s="1044">
        <f t="shared" si="57"/>
        <v>434.65753424657532</v>
      </c>
      <c r="EG263" s="1045">
        <f t="shared" si="58"/>
        <v>31295.342465753423</v>
      </c>
      <c r="EH263" s="1044">
        <f t="shared" si="59"/>
        <v>7948</v>
      </c>
      <c r="EI263" s="1044">
        <f t="shared" si="60"/>
        <v>108.87671232876713</v>
      </c>
      <c r="EJ263" s="1045">
        <f t="shared" si="61"/>
        <v>7839.1232876712329</v>
      </c>
      <c r="EK263" s="1044">
        <f t="shared" si="62"/>
        <v>228</v>
      </c>
      <c r="EL263" s="1044">
        <f t="shared" si="63"/>
        <v>3.1232876712328768</v>
      </c>
      <c r="EM263" s="1045">
        <f t="shared" si="64"/>
        <v>224.87671232876713</v>
      </c>
      <c r="EN263" s="1044">
        <f t="shared" si="65"/>
        <v>6944</v>
      </c>
      <c r="EO263" s="1044">
        <f t="shared" si="66"/>
        <v>95.123287671232873</v>
      </c>
      <c r="EP263" s="1045">
        <f t="shared" si="67"/>
        <v>6848.8767123287671</v>
      </c>
      <c r="EQ263" s="1044">
        <f t="shared" si="68"/>
        <v>10184</v>
      </c>
      <c r="ER263" s="1044">
        <f t="shared" si="74"/>
        <v>55.802739726027397</v>
      </c>
      <c r="ES263" s="1045">
        <f t="shared" si="69"/>
        <v>10128.197260273973</v>
      </c>
      <c r="ET263" s="1044">
        <f t="shared" si="70"/>
        <v>228</v>
      </c>
      <c r="EU263" s="1044">
        <f t="shared" si="71"/>
        <v>1.2493150684931507</v>
      </c>
      <c r="EV263" s="1045">
        <f t="shared" si="72"/>
        <v>226.75068493150684</v>
      </c>
      <c r="EW263" s="220">
        <f>'[2]Úspora času'!CZ25</f>
        <v>5</v>
      </c>
      <c r="EX263" s="220">
        <f>'[2]Úspora času'!DJ25</f>
        <v>5</v>
      </c>
    </row>
    <row r="264" spans="1:154" ht="12" customHeight="1" x14ac:dyDescent="0.25">
      <c r="A264" s="1182" t="s">
        <v>327</v>
      </c>
      <c r="B264" s="1182"/>
      <c r="C264" s="1182"/>
      <c r="D264" s="1182"/>
      <c r="E264" s="1182"/>
      <c r="F264" s="1182"/>
      <c r="EA264" s="1041">
        <f t="shared" si="73"/>
        <v>2046</v>
      </c>
      <c r="EB264" s="1048">
        <f>'[2]Úspora času'!CZ26</f>
        <v>2</v>
      </c>
      <c r="EC264" s="1043">
        <f>'[2]Úspora času'!DA26</f>
        <v>14</v>
      </c>
      <c r="ED264" s="1048">
        <f>'[2]Úspora času'!DQ26</f>
        <v>2</v>
      </c>
      <c r="EE264" s="1049">
        <f t="shared" si="56"/>
        <v>31730</v>
      </c>
      <c r="EF264" s="1044">
        <f t="shared" si="57"/>
        <v>721.53150684931506</v>
      </c>
      <c r="EG264" s="1045">
        <f t="shared" si="58"/>
        <v>31008.468493150685</v>
      </c>
      <c r="EH264" s="1044">
        <f t="shared" si="59"/>
        <v>7948</v>
      </c>
      <c r="EI264" s="1044">
        <f t="shared" si="60"/>
        <v>43.550684931506851</v>
      </c>
      <c r="EJ264" s="1045">
        <f t="shared" si="61"/>
        <v>7904.449315068493</v>
      </c>
      <c r="EK264" s="1044">
        <f t="shared" si="62"/>
        <v>228</v>
      </c>
      <c r="EL264" s="1044">
        <f t="shared" si="63"/>
        <v>5.1846575342465755</v>
      </c>
      <c r="EM264" s="1045">
        <f t="shared" si="64"/>
        <v>222.81534246575342</v>
      </c>
      <c r="EN264" s="1044">
        <f t="shared" si="65"/>
        <v>6944</v>
      </c>
      <c r="EO264" s="1044">
        <f t="shared" si="66"/>
        <v>38.049315068493151</v>
      </c>
      <c r="EP264" s="1045">
        <f t="shared" si="67"/>
        <v>6905.9506849315067</v>
      </c>
      <c r="EQ264" s="1044">
        <f t="shared" si="68"/>
        <v>10184</v>
      </c>
      <c r="ER264" s="1044">
        <f t="shared" si="74"/>
        <v>55.802739726027397</v>
      </c>
      <c r="ES264" s="1045">
        <f t="shared" si="69"/>
        <v>10128.197260273973</v>
      </c>
      <c r="ET264" s="1044">
        <f t="shared" si="70"/>
        <v>228</v>
      </c>
      <c r="EU264" s="1044">
        <f t="shared" si="71"/>
        <v>1.2493150684931507</v>
      </c>
      <c r="EV264" s="1045">
        <f t="shared" si="72"/>
        <v>226.75068493150684</v>
      </c>
      <c r="EW264" s="220">
        <f>'[2]Úspora času'!CZ26</f>
        <v>2</v>
      </c>
      <c r="EX264" s="220">
        <f>'[2]Úspora času'!DJ26</f>
        <v>2</v>
      </c>
    </row>
    <row r="265" spans="1:154" ht="12" customHeight="1" x14ac:dyDescent="0.25">
      <c r="A265" s="1071"/>
      <c r="B265" s="1071"/>
      <c r="C265" s="1071" t="s">
        <v>848</v>
      </c>
      <c r="D265" s="1071"/>
      <c r="E265" s="1071"/>
      <c r="F265" s="1071"/>
      <c r="EA265" s="1041">
        <f t="shared" si="73"/>
        <v>2047</v>
      </c>
      <c r="EB265" s="1048">
        <f>'[2]Úspora času'!CZ27</f>
        <v>9</v>
      </c>
      <c r="EC265" s="1043">
        <f>'[2]Úspora času'!DA27</f>
        <v>120</v>
      </c>
      <c r="ED265" s="1048">
        <f>'[2]Úspora času'!DQ27</f>
        <v>2</v>
      </c>
      <c r="EE265" s="1049">
        <f t="shared" si="56"/>
        <v>31730</v>
      </c>
      <c r="EF265" s="1044">
        <f t="shared" si="57"/>
        <v>5476.6849315068494</v>
      </c>
      <c r="EG265" s="1045">
        <f t="shared" si="58"/>
        <v>26253.31506849315</v>
      </c>
      <c r="EH265" s="1044">
        <f t="shared" si="59"/>
        <v>7948</v>
      </c>
      <c r="EI265" s="1044">
        <f t="shared" si="60"/>
        <v>0</v>
      </c>
      <c r="EJ265" s="1046">
        <f t="shared" si="61"/>
        <v>7948</v>
      </c>
      <c r="EK265" s="1044">
        <f t="shared" si="62"/>
        <v>228</v>
      </c>
      <c r="EL265" s="1044">
        <f t="shared" si="63"/>
        <v>39.353424657534248</v>
      </c>
      <c r="EM265" s="1045">
        <f t="shared" si="64"/>
        <v>188.64657534246575</v>
      </c>
      <c r="EN265" s="1044">
        <f t="shared" si="65"/>
        <v>6944</v>
      </c>
      <c r="EO265" s="1044">
        <f t="shared" si="66"/>
        <v>171.22191780821919</v>
      </c>
      <c r="EP265" s="1045">
        <f t="shared" si="67"/>
        <v>6772.7780821917804</v>
      </c>
      <c r="EQ265" s="1044">
        <f t="shared" si="68"/>
        <v>10184</v>
      </c>
      <c r="ER265" s="1044">
        <f t="shared" si="74"/>
        <v>55.802739726027397</v>
      </c>
      <c r="ES265" s="1045">
        <f t="shared" si="69"/>
        <v>10128.197260273973</v>
      </c>
      <c r="ET265" s="1044">
        <f t="shared" si="70"/>
        <v>228</v>
      </c>
      <c r="EU265" s="1044">
        <f t="shared" si="71"/>
        <v>1.2493150684931507</v>
      </c>
      <c r="EV265" s="1045">
        <f t="shared" si="72"/>
        <v>226.75068493150684</v>
      </c>
      <c r="EW265" s="220">
        <f>'[2]Úspora času'!CZ27</f>
        <v>9</v>
      </c>
      <c r="EX265" s="220">
        <f>'[2]Úspora času'!DJ27</f>
        <v>0</v>
      </c>
    </row>
    <row r="266" spans="1:154" ht="12" customHeight="1" x14ac:dyDescent="0.25">
      <c r="A266" s="1071"/>
      <c r="B266" s="1071"/>
      <c r="C266" s="931" t="s">
        <v>849</v>
      </c>
      <c r="D266" s="936" t="s">
        <v>850</v>
      </c>
      <c r="E266" s="936" t="s">
        <v>851</v>
      </c>
      <c r="F266" s="936" t="s">
        <v>852</v>
      </c>
      <c r="EA266" s="1041">
        <f t="shared" si="73"/>
        <v>2048</v>
      </c>
      <c r="EB266" s="1048">
        <f>'[2]Úspora času'!CZ28</f>
        <v>5</v>
      </c>
      <c r="EC266" s="1043">
        <f>'[2]Úspora času'!DA28</f>
        <v>0</v>
      </c>
      <c r="ED266" s="1048">
        <f>'[2]Úspora času'!DQ28</f>
        <v>0</v>
      </c>
      <c r="EE266" s="1049">
        <f t="shared" si="56"/>
        <v>31730</v>
      </c>
      <c r="EF266" s="1044">
        <f t="shared" si="57"/>
        <v>0</v>
      </c>
      <c r="EG266" s="1046">
        <f t="shared" si="58"/>
        <v>31730</v>
      </c>
      <c r="EH266" s="1044">
        <f t="shared" si="59"/>
        <v>7948</v>
      </c>
      <c r="EI266" s="1044">
        <f t="shared" si="60"/>
        <v>108.87671232876713</v>
      </c>
      <c r="EJ266" s="1045">
        <f t="shared" si="61"/>
        <v>7839.1232876712329</v>
      </c>
      <c r="EK266" s="1044">
        <f t="shared" si="62"/>
        <v>228</v>
      </c>
      <c r="EL266" s="1044">
        <f t="shared" si="63"/>
        <v>0</v>
      </c>
      <c r="EM266" s="1046">
        <f t="shared" si="64"/>
        <v>228</v>
      </c>
      <c r="EN266" s="1044">
        <f t="shared" si="65"/>
        <v>6944</v>
      </c>
      <c r="EO266" s="1044">
        <f t="shared" si="66"/>
        <v>95.123287671232873</v>
      </c>
      <c r="EP266" s="1045">
        <f t="shared" si="67"/>
        <v>6848.8767123287671</v>
      </c>
      <c r="EQ266" s="1044">
        <f t="shared" si="68"/>
        <v>10184</v>
      </c>
      <c r="ER266" s="1044">
        <f t="shared" si="74"/>
        <v>0</v>
      </c>
      <c r="ES266" s="1046">
        <f t="shared" si="69"/>
        <v>10184</v>
      </c>
      <c r="ET266" s="1044">
        <f t="shared" si="70"/>
        <v>228</v>
      </c>
      <c r="EU266" s="1044">
        <f t="shared" si="71"/>
        <v>0</v>
      </c>
      <c r="EV266" s="1046">
        <f t="shared" si="72"/>
        <v>228</v>
      </c>
      <c r="EW266" s="220"/>
      <c r="EX266" s="220">
        <f>'[2]Úspora času'!DJ28</f>
        <v>5</v>
      </c>
    </row>
    <row r="267" spans="1:154" ht="12" customHeight="1" x14ac:dyDescent="0.25">
      <c r="A267" s="1078" t="s">
        <v>853</v>
      </c>
      <c r="B267" s="1078"/>
      <c r="C267" s="931">
        <v>51</v>
      </c>
      <c r="D267" s="931">
        <v>51</v>
      </c>
      <c r="E267" s="931">
        <v>28</v>
      </c>
      <c r="F267" s="931">
        <v>26</v>
      </c>
      <c r="EA267" s="1041">
        <f t="shared" si="73"/>
        <v>2049</v>
      </c>
      <c r="EB267" s="1048">
        <f>'[2]Úspora času'!CZ29</f>
        <v>0</v>
      </c>
      <c r="EC267" s="1043">
        <f>'[2]Úspora času'!DA29</f>
        <v>0</v>
      </c>
      <c r="ED267" s="1048">
        <f>'[2]Úspora času'!DQ29</f>
        <v>2</v>
      </c>
      <c r="EE267" s="1049">
        <f t="shared" si="56"/>
        <v>31730</v>
      </c>
      <c r="EF267" s="1044">
        <f t="shared" si="57"/>
        <v>0</v>
      </c>
      <c r="EG267" s="1046">
        <f t="shared" si="58"/>
        <v>31730</v>
      </c>
      <c r="EH267" s="1044">
        <f t="shared" si="59"/>
        <v>7948</v>
      </c>
      <c r="EI267" s="1044">
        <f t="shared" si="60"/>
        <v>0</v>
      </c>
      <c r="EJ267" s="1046">
        <f t="shared" si="61"/>
        <v>7948</v>
      </c>
      <c r="EK267" s="1044">
        <f t="shared" si="62"/>
        <v>228</v>
      </c>
      <c r="EL267" s="1044">
        <f t="shared" si="63"/>
        <v>0</v>
      </c>
      <c r="EM267" s="1046">
        <f t="shared" si="64"/>
        <v>228</v>
      </c>
      <c r="EN267" s="1044">
        <f t="shared" si="65"/>
        <v>6944</v>
      </c>
      <c r="EO267" s="1044">
        <f t="shared" si="66"/>
        <v>0</v>
      </c>
      <c r="EP267" s="1046">
        <f t="shared" si="67"/>
        <v>6944</v>
      </c>
      <c r="EQ267" s="1044">
        <f t="shared" si="68"/>
        <v>10184</v>
      </c>
      <c r="ER267" s="1044">
        <f t="shared" si="74"/>
        <v>55.802739726027397</v>
      </c>
      <c r="ES267" s="1045">
        <f t="shared" si="69"/>
        <v>10128.197260273973</v>
      </c>
      <c r="ET267" s="1044">
        <f t="shared" si="70"/>
        <v>228</v>
      </c>
      <c r="EU267" s="1044">
        <f t="shared" si="71"/>
        <v>1.2493150684931507</v>
      </c>
      <c r="EV267" s="1045">
        <f t="shared" si="72"/>
        <v>226.75068493150684</v>
      </c>
      <c r="EW267" s="220"/>
      <c r="EX267" s="220">
        <f>'[2]Úspora času'!DJ29</f>
        <v>0</v>
      </c>
    </row>
    <row r="268" spans="1:154" ht="12" customHeight="1" x14ac:dyDescent="0.25">
      <c r="A268" s="1078" t="s">
        <v>854</v>
      </c>
      <c r="B268" s="1078"/>
      <c r="C268" s="931">
        <v>12</v>
      </c>
      <c r="D268" s="936" t="s">
        <v>860</v>
      </c>
      <c r="E268" s="931" t="s">
        <v>844</v>
      </c>
      <c r="F268" s="931">
        <v>8</v>
      </c>
      <c r="EA268" s="1041">
        <f t="shared" si="73"/>
        <v>2050</v>
      </c>
      <c r="EB268" s="1048">
        <f>'[2]Úspora času'!CZ30</f>
        <v>3</v>
      </c>
      <c r="EC268" s="1043">
        <f>'[2]Úspora času'!DA30</f>
        <v>0</v>
      </c>
      <c r="ED268" s="1048">
        <f>'[2]Úspora času'!DQ30</f>
        <v>0</v>
      </c>
      <c r="EE268" s="1049">
        <f t="shared" si="56"/>
        <v>31730</v>
      </c>
      <c r="EF268" s="1044">
        <f t="shared" si="57"/>
        <v>0</v>
      </c>
      <c r="EG268" s="1046">
        <f t="shared" si="58"/>
        <v>31730</v>
      </c>
      <c r="EH268" s="1044">
        <f t="shared" si="59"/>
        <v>7948</v>
      </c>
      <c r="EI268" s="1044">
        <f t="shared" si="60"/>
        <v>65.326027397260276</v>
      </c>
      <c r="EJ268" s="1045">
        <f t="shared" si="61"/>
        <v>7882.6739726027399</v>
      </c>
      <c r="EK268" s="1044">
        <f t="shared" si="62"/>
        <v>228</v>
      </c>
      <c r="EL268" s="1044">
        <f t="shared" si="63"/>
        <v>0</v>
      </c>
      <c r="EM268" s="1046">
        <f t="shared" si="64"/>
        <v>228</v>
      </c>
      <c r="EN268" s="1044">
        <f t="shared" si="65"/>
        <v>6944</v>
      </c>
      <c r="EO268" s="1044">
        <f t="shared" si="66"/>
        <v>57.07397260273973</v>
      </c>
      <c r="EP268" s="1045">
        <f t="shared" si="67"/>
        <v>6886.9260273972604</v>
      </c>
      <c r="EQ268" s="1044">
        <f t="shared" si="68"/>
        <v>10184</v>
      </c>
      <c r="ER268" s="1044">
        <f t="shared" si="74"/>
        <v>0</v>
      </c>
      <c r="ES268" s="1046">
        <f t="shared" si="69"/>
        <v>10184</v>
      </c>
      <c r="ET268" s="1044">
        <f t="shared" si="70"/>
        <v>228</v>
      </c>
      <c r="EU268" s="1044">
        <f t="shared" si="71"/>
        <v>0</v>
      </c>
      <c r="EV268" s="1046">
        <f t="shared" si="72"/>
        <v>228</v>
      </c>
      <c r="EW268" s="220"/>
      <c r="EX268" s="220">
        <f>'[2]Úspora času'!DJ30</f>
        <v>3</v>
      </c>
    </row>
    <row r="269" spans="1:154" ht="24" customHeight="1" x14ac:dyDescent="0.25">
      <c r="A269" s="1189" t="s">
        <v>859</v>
      </c>
      <c r="B269" s="1190"/>
      <c r="C269" s="931">
        <v>16</v>
      </c>
      <c r="D269" s="931">
        <v>16</v>
      </c>
      <c r="E269" s="931" t="s">
        <v>857</v>
      </c>
      <c r="F269" s="931" t="s">
        <v>858</v>
      </c>
      <c r="EA269" s="1041">
        <f t="shared" si="73"/>
        <v>2051</v>
      </c>
      <c r="EB269" s="1048">
        <f>'[2]Úspora času'!CZ31</f>
        <v>2</v>
      </c>
      <c r="EC269" s="1043">
        <f>'[2]Úspora času'!DA31</f>
        <v>10</v>
      </c>
      <c r="ED269" s="1048">
        <f>'[2]Úspora času'!DQ31</f>
        <v>4</v>
      </c>
      <c r="EE269" s="1049">
        <f t="shared" si="56"/>
        <v>31730</v>
      </c>
      <c r="EF269" s="1044">
        <f t="shared" si="57"/>
        <v>565.05479452054794</v>
      </c>
      <c r="EG269" s="1045">
        <f t="shared" si="58"/>
        <v>31164.945205479453</v>
      </c>
      <c r="EH269" s="1044">
        <f t="shared" si="59"/>
        <v>7948</v>
      </c>
      <c r="EI269" s="1044">
        <f t="shared" si="60"/>
        <v>43.550684931506851</v>
      </c>
      <c r="EJ269" s="1045">
        <f t="shared" si="61"/>
        <v>7904.449315068493</v>
      </c>
      <c r="EK269" s="1044">
        <f t="shared" si="62"/>
        <v>228</v>
      </c>
      <c r="EL269" s="1044">
        <f t="shared" si="63"/>
        <v>4.0602739726027401</v>
      </c>
      <c r="EM269" s="1045">
        <f t="shared" si="64"/>
        <v>223.93972602739726</v>
      </c>
      <c r="EN269" s="1044">
        <f t="shared" si="65"/>
        <v>6944</v>
      </c>
      <c r="EO269" s="1044">
        <f t="shared" si="66"/>
        <v>38.049315068493151</v>
      </c>
      <c r="EP269" s="1045">
        <f t="shared" si="67"/>
        <v>6905.9506849315067</v>
      </c>
      <c r="EQ269" s="1044">
        <f t="shared" si="68"/>
        <v>10184</v>
      </c>
      <c r="ER269" s="1044">
        <f t="shared" si="74"/>
        <v>111.60547945205479</v>
      </c>
      <c r="ES269" s="1045">
        <f t="shared" si="69"/>
        <v>10072.394520547945</v>
      </c>
      <c r="ET269" s="1044">
        <f t="shared" si="70"/>
        <v>228</v>
      </c>
      <c r="EU269" s="1044">
        <f t="shared" si="71"/>
        <v>2.4986301369863013</v>
      </c>
      <c r="EV269" s="1045">
        <f t="shared" si="72"/>
        <v>225.50136986301371</v>
      </c>
      <c r="EW269" s="220">
        <f>'[2]Úspora času'!CZ31</f>
        <v>2</v>
      </c>
      <c r="EX269" s="220">
        <f>'[2]Úspora času'!DJ31</f>
        <v>2</v>
      </c>
    </row>
    <row r="270" spans="1:154" x14ac:dyDescent="0.25">
      <c r="EA270" s="1041">
        <f t="shared" si="73"/>
        <v>2052</v>
      </c>
      <c r="EB270" s="1048">
        <f>'[2]Úspora času'!CZ32</f>
        <v>2</v>
      </c>
      <c r="EC270" s="1043">
        <f>'[2]Úspora času'!DA32</f>
        <v>0</v>
      </c>
      <c r="ED270" s="1048">
        <f>'[2]Úspora času'!DQ32</f>
        <v>0</v>
      </c>
      <c r="EE270" s="1049">
        <f t="shared" si="56"/>
        <v>31730</v>
      </c>
      <c r="EF270" s="1044">
        <f t="shared" si="57"/>
        <v>173.86301369863014</v>
      </c>
      <c r="EG270" s="1045">
        <f t="shared" si="58"/>
        <v>31556.136986301372</v>
      </c>
      <c r="EH270" s="1044">
        <f t="shared" si="59"/>
        <v>7948</v>
      </c>
      <c r="EI270" s="1044">
        <f t="shared" si="60"/>
        <v>43.550684931506851</v>
      </c>
      <c r="EJ270" s="1045">
        <f t="shared" si="61"/>
        <v>7904.449315068493</v>
      </c>
      <c r="EK270" s="1044">
        <f t="shared" si="62"/>
        <v>228</v>
      </c>
      <c r="EL270" s="1044">
        <f t="shared" si="63"/>
        <v>1.2493150684931507</v>
      </c>
      <c r="EM270" s="1045">
        <f t="shared" si="64"/>
        <v>226.75068493150684</v>
      </c>
      <c r="EN270" s="1044">
        <f t="shared" si="65"/>
        <v>6944</v>
      </c>
      <c r="EO270" s="1044">
        <f t="shared" si="66"/>
        <v>38.049315068493151</v>
      </c>
      <c r="EP270" s="1045">
        <f t="shared" si="67"/>
        <v>6905.9506849315067</v>
      </c>
      <c r="EQ270" s="1044">
        <f t="shared" si="68"/>
        <v>10184</v>
      </c>
      <c r="ER270" s="1044">
        <f t="shared" si="74"/>
        <v>0</v>
      </c>
      <c r="ES270" s="1046">
        <f t="shared" si="69"/>
        <v>10184</v>
      </c>
      <c r="ET270" s="1044">
        <f t="shared" si="70"/>
        <v>228</v>
      </c>
      <c r="EU270" s="1044">
        <f t="shared" si="71"/>
        <v>0</v>
      </c>
      <c r="EV270" s="1046">
        <f t="shared" si="72"/>
        <v>228</v>
      </c>
      <c r="EW270" s="220">
        <f>'[2]Úspora času'!CZ32</f>
        <v>2</v>
      </c>
      <c r="EX270" s="220">
        <f>'[2]Úspora času'!DJ32</f>
        <v>2</v>
      </c>
    </row>
    <row r="271" spans="1:154" ht="12" customHeight="1" x14ac:dyDescent="0.25">
      <c r="A271" s="1070" t="s">
        <v>867</v>
      </c>
      <c r="B271" s="1071"/>
      <c r="C271" s="1071"/>
      <c r="D271" s="1071"/>
      <c r="E271" s="1071"/>
      <c r="F271" s="1071"/>
      <c r="G271" s="1071"/>
      <c r="H271" s="1071"/>
      <c r="EA271" s="1041">
        <f t="shared" si="73"/>
        <v>2053</v>
      </c>
      <c r="EB271" s="1048">
        <f>'[2]Úspora času'!CZ33</f>
        <v>15</v>
      </c>
      <c r="EC271" s="1043">
        <f>'[2]Úspora času'!DA33</f>
        <v>278</v>
      </c>
      <c r="ED271" s="1048">
        <f>'[2]Úspora času'!DQ33</f>
        <v>2</v>
      </c>
      <c r="EE271" s="1049">
        <f t="shared" si="56"/>
        <v>31730</v>
      </c>
      <c r="EF271" s="1044">
        <f t="shared" si="57"/>
        <v>12179.104109589041</v>
      </c>
      <c r="EG271" s="1045">
        <f t="shared" si="58"/>
        <v>19550.89589041096</v>
      </c>
      <c r="EH271" s="1044">
        <f t="shared" si="59"/>
        <v>7948</v>
      </c>
      <c r="EI271" s="1044">
        <f t="shared" si="60"/>
        <v>0</v>
      </c>
      <c r="EJ271" s="1046">
        <f t="shared" si="61"/>
        <v>7948</v>
      </c>
      <c r="EK271" s="1044">
        <f t="shared" si="62"/>
        <v>228</v>
      </c>
      <c r="EL271" s="1044">
        <f t="shared" si="63"/>
        <v>87.51452054794521</v>
      </c>
      <c r="EM271" s="1045">
        <f t="shared" si="64"/>
        <v>140.48547945205479</v>
      </c>
      <c r="EN271" s="1044">
        <f t="shared" si="65"/>
        <v>6944</v>
      </c>
      <c r="EO271" s="1044">
        <f t="shared" si="66"/>
        <v>285.36986301369865</v>
      </c>
      <c r="EP271" s="1045">
        <f t="shared" si="67"/>
        <v>6658.6301369863013</v>
      </c>
      <c r="EQ271" s="1044">
        <f t="shared" si="68"/>
        <v>10184</v>
      </c>
      <c r="ER271" s="1044">
        <f t="shared" si="74"/>
        <v>55.802739726027397</v>
      </c>
      <c r="ES271" s="1045">
        <f t="shared" si="69"/>
        <v>10128.197260273973</v>
      </c>
      <c r="ET271" s="1044">
        <f t="shared" si="70"/>
        <v>228</v>
      </c>
      <c r="EU271" s="1044">
        <f t="shared" si="71"/>
        <v>1.2493150684931507</v>
      </c>
      <c r="EV271" s="1045">
        <f t="shared" si="72"/>
        <v>226.75068493150684</v>
      </c>
      <c r="EW271" s="220">
        <f>'[2]Úspora času'!CZ33</f>
        <v>15</v>
      </c>
      <c r="EX271" s="220">
        <f>'[2]Úspora času'!DJ33</f>
        <v>0</v>
      </c>
    </row>
    <row r="272" spans="1:154" ht="12" customHeight="1" x14ac:dyDescent="0.25">
      <c r="A272" s="935"/>
      <c r="B272" s="936" t="s">
        <v>868</v>
      </c>
      <c r="C272" s="936" t="s">
        <v>869</v>
      </c>
      <c r="D272" s="936" t="s">
        <v>870</v>
      </c>
      <c r="E272" s="936" t="s">
        <v>871</v>
      </c>
      <c r="F272" s="936" t="s">
        <v>850</v>
      </c>
      <c r="G272" s="936" t="s">
        <v>851</v>
      </c>
      <c r="H272" s="936" t="s">
        <v>852</v>
      </c>
      <c r="EA272" s="1041">
        <f t="shared" si="73"/>
        <v>2054</v>
      </c>
      <c r="EB272" s="1048">
        <f>'[2]Úspora času'!CZ34</f>
        <v>0</v>
      </c>
      <c r="EC272" s="1043">
        <f>'[2]Úspora času'!DA34</f>
        <v>0</v>
      </c>
      <c r="ED272" s="1048">
        <f>'[2]Úspora času'!DQ34</f>
        <v>0</v>
      </c>
      <c r="EE272" s="1049">
        <f t="shared" si="56"/>
        <v>31730</v>
      </c>
      <c r="EF272" s="1044">
        <f t="shared" si="57"/>
        <v>0</v>
      </c>
      <c r="EG272" s="1045">
        <f t="shared" si="58"/>
        <v>31730</v>
      </c>
      <c r="EH272" s="1044">
        <f t="shared" si="59"/>
        <v>7948</v>
      </c>
      <c r="EI272" s="1044">
        <f t="shared" si="60"/>
        <v>0</v>
      </c>
      <c r="EJ272" s="1046">
        <f t="shared" si="61"/>
        <v>7948</v>
      </c>
      <c r="EK272" s="1044">
        <f t="shared" si="62"/>
        <v>228</v>
      </c>
      <c r="EL272" s="1044">
        <f t="shared" si="63"/>
        <v>0</v>
      </c>
      <c r="EM272" s="1046">
        <f t="shared" si="64"/>
        <v>228</v>
      </c>
      <c r="EN272" s="1044">
        <f t="shared" si="65"/>
        <v>6944</v>
      </c>
      <c r="EO272" s="1044">
        <f t="shared" si="66"/>
        <v>0</v>
      </c>
      <c r="EP272" s="1046">
        <f t="shared" si="67"/>
        <v>6944</v>
      </c>
      <c r="EQ272" s="1044">
        <f t="shared" si="68"/>
        <v>10184</v>
      </c>
      <c r="ER272" s="1044">
        <f t="shared" si="74"/>
        <v>0</v>
      </c>
      <c r="ES272" s="1046">
        <f t="shared" si="69"/>
        <v>10184</v>
      </c>
      <c r="ET272" s="1044">
        <f t="shared" si="70"/>
        <v>228</v>
      </c>
      <c r="EU272" s="1044">
        <f t="shared" si="71"/>
        <v>0</v>
      </c>
      <c r="EV272" s="1046">
        <f t="shared" si="72"/>
        <v>228</v>
      </c>
      <c r="EW272" s="220"/>
      <c r="EX272" s="220">
        <f>'[2]Úspora času'!DJ34</f>
        <v>0</v>
      </c>
    </row>
    <row r="273" spans="1:154" ht="54.75" customHeight="1" x14ac:dyDescent="0.25">
      <c r="A273" s="987" t="s">
        <v>866</v>
      </c>
      <c r="B273" s="935">
        <v>8</v>
      </c>
      <c r="C273" s="935">
        <v>8</v>
      </c>
      <c r="D273" s="935">
        <v>8</v>
      </c>
      <c r="E273" s="935">
        <v>7</v>
      </c>
      <c r="F273" s="935">
        <v>9</v>
      </c>
      <c r="G273" s="935">
        <v>6</v>
      </c>
      <c r="H273" s="935">
        <v>5</v>
      </c>
      <c r="EB273" s="12" t="s">
        <v>933</v>
      </c>
      <c r="EC273" s="12" t="s">
        <v>930</v>
      </c>
      <c r="EW273" s="12" t="s">
        <v>934</v>
      </c>
      <c r="EX273" s="12" t="s">
        <v>935</v>
      </c>
    </row>
    <row r="274" spans="1:154" ht="12" customHeight="1" x14ac:dyDescent="0.25">
      <c r="A274" s="987" t="s">
        <v>240</v>
      </c>
      <c r="B274" s="935">
        <v>8</v>
      </c>
      <c r="C274" s="935">
        <v>7</v>
      </c>
      <c r="D274" s="935">
        <v>8</v>
      </c>
      <c r="E274" s="935">
        <v>7</v>
      </c>
      <c r="F274" s="935">
        <v>7</v>
      </c>
      <c r="G274" s="935">
        <v>6</v>
      </c>
      <c r="H274" s="935">
        <v>6</v>
      </c>
      <c r="EA274" s="2" t="s">
        <v>574</v>
      </c>
      <c r="EE274" s="1103" t="s">
        <v>927</v>
      </c>
      <c r="EF274" s="1103"/>
      <c r="EG274" s="1103"/>
      <c r="EH274" s="1103" t="s">
        <v>928</v>
      </c>
      <c r="EI274" s="1103"/>
      <c r="EJ274" s="1103"/>
      <c r="EK274" s="1103" t="s">
        <v>931</v>
      </c>
      <c r="EL274" s="1103"/>
      <c r="EM274" s="1104"/>
      <c r="EN274" s="1103" t="s">
        <v>932</v>
      </c>
      <c r="EO274" s="1103"/>
      <c r="EP274" s="1103"/>
      <c r="EQ274" s="1103" t="s">
        <v>572</v>
      </c>
      <c r="ER274" s="1103"/>
      <c r="ES274" s="1103"/>
      <c r="ET274" s="1103" t="s">
        <v>573</v>
      </c>
      <c r="EU274" s="1103"/>
      <c r="EV274" s="1103"/>
    </row>
    <row r="275" spans="1:154" ht="12" customHeight="1" x14ac:dyDescent="0.25">
      <c r="A275" s="987" t="s">
        <v>241</v>
      </c>
      <c r="B275" s="935">
        <v>1</v>
      </c>
      <c r="C275" s="935">
        <v>0</v>
      </c>
      <c r="D275" s="935">
        <v>0</v>
      </c>
      <c r="E275" s="935">
        <v>1</v>
      </c>
      <c r="F275" s="935">
        <v>0</v>
      </c>
      <c r="G275" s="935">
        <v>0</v>
      </c>
      <c r="H275" s="935">
        <v>0</v>
      </c>
      <c r="EA275" s="724" t="s">
        <v>95</v>
      </c>
      <c r="EB275" s="724" t="s">
        <v>566</v>
      </c>
      <c r="EC275" s="724" t="s">
        <v>567</v>
      </c>
      <c r="ED275" s="724">
        <v>251</v>
      </c>
      <c r="EE275" s="727" t="s">
        <v>569</v>
      </c>
      <c r="EF275" s="320" t="s">
        <v>570</v>
      </c>
      <c r="EG275" s="320" t="s">
        <v>571</v>
      </c>
      <c r="EH275" s="320" t="s">
        <v>569</v>
      </c>
      <c r="EI275" s="320" t="s">
        <v>570</v>
      </c>
      <c r="EJ275" s="320" t="s">
        <v>571</v>
      </c>
      <c r="EK275" s="320" t="s">
        <v>569</v>
      </c>
      <c r="EL275" s="320" t="s">
        <v>570</v>
      </c>
      <c r="EM275" s="586" t="s">
        <v>571</v>
      </c>
      <c r="EN275" s="320" t="s">
        <v>569</v>
      </c>
      <c r="EO275" s="320" t="s">
        <v>570</v>
      </c>
      <c r="EP275" s="320" t="s">
        <v>571</v>
      </c>
      <c r="EQ275" s="320" t="s">
        <v>569</v>
      </c>
      <c r="ER275" s="320" t="s">
        <v>570</v>
      </c>
      <c r="ES275" s="320" t="s">
        <v>571</v>
      </c>
      <c r="ET275" s="320" t="s">
        <v>569</v>
      </c>
      <c r="EU275" s="320" t="s">
        <v>570</v>
      </c>
      <c r="EV275" s="320" t="s">
        <v>571</v>
      </c>
    </row>
    <row r="276" spans="1:154" x14ac:dyDescent="0.25">
      <c r="EA276" s="1043">
        <f>EA244</f>
        <v>2026</v>
      </c>
      <c r="EB276" s="1048">
        <f>'[2]Úspora času'!CX6</f>
        <v>183</v>
      </c>
      <c r="EC276" s="1048">
        <f>'[2]Úspora času'!CY6</f>
        <v>0</v>
      </c>
      <c r="ED276" s="1048">
        <f>'[2]Úspora času'!DP6</f>
        <v>160</v>
      </c>
      <c r="EE276" s="1049">
        <f>D8+G8</f>
        <v>31730</v>
      </c>
      <c r="EF276" s="1044">
        <f>EE276/365*EB276+EE276/365*EC276*0.45</f>
        <v>15908.465753424658</v>
      </c>
      <c r="EG276" s="1045">
        <f>EE276-EF276</f>
        <v>15821.534246575342</v>
      </c>
      <c r="EH276" s="1044">
        <f>D16+G16</f>
        <v>7948</v>
      </c>
      <c r="EI276" s="1044">
        <f>EH276/365*EB276</f>
        <v>3984.887671232877</v>
      </c>
      <c r="EJ276" s="1045">
        <f>EH276-EI276</f>
        <v>3963.112328767123</v>
      </c>
      <c r="EK276" s="1044">
        <f>D7+G7</f>
        <v>228</v>
      </c>
      <c r="EL276" s="1044">
        <f>EK276/365*EB276+EK276/365*EC276*0.45</f>
        <v>114.31232876712329</v>
      </c>
      <c r="EM276" s="1045">
        <f>EK276-EL276</f>
        <v>113.68767123287671</v>
      </c>
      <c r="EN276" s="1044">
        <f>D6+G6</f>
        <v>6944</v>
      </c>
      <c r="EO276" s="1044">
        <f>EN276/365*EB276</f>
        <v>3481.5123287671231</v>
      </c>
      <c r="EP276" s="1045">
        <f>EN276-EO276</f>
        <v>3462.4876712328769</v>
      </c>
      <c r="EQ276" s="1044">
        <f>D22+G22</f>
        <v>10184</v>
      </c>
      <c r="ER276" s="1044">
        <f>EQ276/365*ED276</f>
        <v>4464.2191780821922</v>
      </c>
      <c r="ES276" s="1045">
        <f>EQ276-ER276</f>
        <v>5719.7808219178078</v>
      </c>
      <c r="ET276" s="1044">
        <f>D21+G21</f>
        <v>228</v>
      </c>
      <c r="EU276" s="1044">
        <f>ET276/365*ED276</f>
        <v>99.945205479452056</v>
      </c>
      <c r="EV276" s="1045">
        <f>ET276-EU276</f>
        <v>128.05479452054794</v>
      </c>
    </row>
    <row r="277" spans="1:154" ht="12" customHeight="1" x14ac:dyDescent="0.25">
      <c r="A277" s="1070" t="s">
        <v>872</v>
      </c>
      <c r="B277" s="1071"/>
      <c r="C277" s="1071"/>
      <c r="D277" s="1071"/>
      <c r="E277" s="1071"/>
      <c r="F277" s="1071"/>
      <c r="G277" s="1071"/>
      <c r="H277" s="1071"/>
      <c r="EA277" s="1043">
        <f t="shared" ref="EA277:EA304" si="75">EA245</f>
        <v>2027</v>
      </c>
      <c r="EB277" s="1048">
        <f>'[2]Úspora času'!CX7</f>
        <v>0</v>
      </c>
      <c r="EC277" s="1048">
        <f>'[2]Úspora času'!CY7</f>
        <v>0</v>
      </c>
      <c r="ED277" s="1048">
        <f>'[2]Úspora času'!DP7</f>
        <v>0</v>
      </c>
      <c r="EE277" s="1049">
        <f>$EE$276</f>
        <v>31730</v>
      </c>
      <c r="EF277" s="1044">
        <f t="shared" ref="EF277:EF304" si="76">EE277/365*EB277+EE277/365*EC277*0.45</f>
        <v>0</v>
      </c>
      <c r="EG277" s="1046">
        <f t="shared" ref="EG277:EG304" si="77">EE277-EF277</f>
        <v>31730</v>
      </c>
      <c r="EH277" s="1044">
        <f>$EH$276</f>
        <v>7948</v>
      </c>
      <c r="EI277" s="1044">
        <f t="shared" ref="EI277:EI304" si="78">EH277/365*EB277</f>
        <v>0</v>
      </c>
      <c r="EJ277" s="1046">
        <f t="shared" ref="EJ277:EJ304" si="79">EH277-EI277</f>
        <v>7948</v>
      </c>
      <c r="EK277" s="1044">
        <f>$EK$276</f>
        <v>228</v>
      </c>
      <c r="EL277" s="1044">
        <f t="shared" ref="EL277:EL304" si="80">EK277/365*EB277+EK277/365*EC277*0.45</f>
        <v>0</v>
      </c>
      <c r="EM277" s="1046">
        <f t="shared" ref="EM277:EM304" si="81">EK277-EL277</f>
        <v>228</v>
      </c>
      <c r="EN277" s="1044">
        <f>$EN$276</f>
        <v>6944</v>
      </c>
      <c r="EO277" s="1044">
        <f t="shared" ref="EO277:EO304" si="82">EN277/365*EB277</f>
        <v>0</v>
      </c>
      <c r="EP277" s="1046">
        <f t="shared" ref="EP277:EP304" si="83">EN277-EO277</f>
        <v>6944</v>
      </c>
      <c r="EQ277" s="1044">
        <f>$EQ$276</f>
        <v>10184</v>
      </c>
      <c r="ER277" s="1044">
        <f>EQ277/365*ED277</f>
        <v>0</v>
      </c>
      <c r="ES277" s="1046">
        <f t="shared" ref="ES277:ES304" si="84">EQ277-ER277</f>
        <v>10184</v>
      </c>
      <c r="ET277" s="1044">
        <f>$ET$276</f>
        <v>228</v>
      </c>
      <c r="EU277" s="1044">
        <f t="shared" ref="EU277:EU304" si="85">ET277/365*ED277</f>
        <v>0</v>
      </c>
      <c r="EV277" s="1046">
        <f t="shared" ref="EV277:EV304" si="86">ET277-EU277</f>
        <v>228</v>
      </c>
    </row>
    <row r="278" spans="1:154" ht="12" customHeight="1" x14ac:dyDescent="0.25">
      <c r="A278" s="935"/>
      <c r="B278" s="936" t="s">
        <v>868</v>
      </c>
      <c r="C278" s="936" t="s">
        <v>869</v>
      </c>
      <c r="D278" s="936" t="s">
        <v>870</v>
      </c>
      <c r="E278" s="936" t="s">
        <v>871</v>
      </c>
      <c r="F278" s="936" t="s">
        <v>850</v>
      </c>
      <c r="G278" s="936" t="s">
        <v>851</v>
      </c>
      <c r="H278" s="936" t="s">
        <v>852</v>
      </c>
      <c r="EA278" s="1043">
        <f t="shared" si="75"/>
        <v>2028</v>
      </c>
      <c r="EB278" s="1048">
        <f>'[2]Úspora času'!CX8</f>
        <v>0</v>
      </c>
      <c r="EC278" s="1048">
        <f>'[2]Úspora času'!CY8</f>
        <v>0</v>
      </c>
      <c r="ED278" s="1048">
        <f>'[2]Úspora času'!DP8</f>
        <v>0</v>
      </c>
      <c r="EE278" s="1049">
        <f t="shared" ref="EE278:EE304" si="87">$EE$276</f>
        <v>31730</v>
      </c>
      <c r="EF278" s="1044">
        <f t="shared" si="76"/>
        <v>0</v>
      </c>
      <c r="EG278" s="1046">
        <f t="shared" si="77"/>
        <v>31730</v>
      </c>
      <c r="EH278" s="1044">
        <f t="shared" ref="EH278:EH304" si="88">$EH$276</f>
        <v>7948</v>
      </c>
      <c r="EI278" s="1044">
        <f t="shared" si="78"/>
        <v>0</v>
      </c>
      <c r="EJ278" s="1046">
        <f t="shared" si="79"/>
        <v>7948</v>
      </c>
      <c r="EK278" s="1044">
        <f t="shared" ref="EK278:EK304" si="89">$EK$276</f>
        <v>228</v>
      </c>
      <c r="EL278" s="1044">
        <f t="shared" si="80"/>
        <v>0</v>
      </c>
      <c r="EM278" s="1046">
        <f t="shared" si="81"/>
        <v>228</v>
      </c>
      <c r="EN278" s="1044">
        <f t="shared" ref="EN278:EN304" si="90">$EN$276</f>
        <v>6944</v>
      </c>
      <c r="EO278" s="1044">
        <f t="shared" si="82"/>
        <v>0</v>
      </c>
      <c r="EP278" s="1046">
        <f t="shared" si="83"/>
        <v>6944</v>
      </c>
      <c r="EQ278" s="1044">
        <f t="shared" ref="EQ278:EQ304" si="91">$EQ$276</f>
        <v>10184</v>
      </c>
      <c r="ER278" s="1044">
        <f t="shared" ref="ER278:ER304" si="92">EQ278/365*ED278</f>
        <v>0</v>
      </c>
      <c r="ES278" s="1046">
        <f t="shared" si="84"/>
        <v>10184</v>
      </c>
      <c r="ET278" s="1044">
        <f t="shared" ref="ET278:ET304" si="93">$ET$276</f>
        <v>228</v>
      </c>
      <c r="EU278" s="1044">
        <f t="shared" si="85"/>
        <v>0</v>
      </c>
      <c r="EV278" s="1046">
        <f t="shared" si="86"/>
        <v>228</v>
      </c>
    </row>
    <row r="279" spans="1:154" ht="12" customHeight="1" x14ac:dyDescent="0.25">
      <c r="A279" s="987" t="s">
        <v>866</v>
      </c>
      <c r="B279" s="935">
        <v>7</v>
      </c>
      <c r="C279" s="935">
        <v>7</v>
      </c>
      <c r="D279" s="935">
        <v>6</v>
      </c>
      <c r="E279" s="935">
        <v>7</v>
      </c>
      <c r="F279" s="935">
        <v>5</v>
      </c>
      <c r="G279" s="935">
        <v>5</v>
      </c>
      <c r="H279" s="935">
        <v>7</v>
      </c>
      <c r="EA279" s="1043">
        <f t="shared" si="75"/>
        <v>2029</v>
      </c>
      <c r="EB279" s="1048">
        <f>'[2]Úspora času'!CX9</f>
        <v>0</v>
      </c>
      <c r="EC279" s="1048">
        <f>'[2]Úspora času'!CY9</f>
        <v>0</v>
      </c>
      <c r="ED279" s="1048">
        <f>'[2]Úspora času'!DP9</f>
        <v>0</v>
      </c>
      <c r="EE279" s="1049">
        <f t="shared" si="87"/>
        <v>31730</v>
      </c>
      <c r="EF279" s="1044">
        <f t="shared" si="76"/>
        <v>0</v>
      </c>
      <c r="EG279" s="1046">
        <f t="shared" si="77"/>
        <v>31730</v>
      </c>
      <c r="EH279" s="1044">
        <f t="shared" si="88"/>
        <v>7948</v>
      </c>
      <c r="EI279" s="1044">
        <f t="shared" si="78"/>
        <v>0</v>
      </c>
      <c r="EJ279" s="1046">
        <f t="shared" si="79"/>
        <v>7948</v>
      </c>
      <c r="EK279" s="1044">
        <f t="shared" si="89"/>
        <v>228</v>
      </c>
      <c r="EL279" s="1044">
        <f t="shared" si="80"/>
        <v>0</v>
      </c>
      <c r="EM279" s="1046">
        <f t="shared" si="81"/>
        <v>228</v>
      </c>
      <c r="EN279" s="1044">
        <f t="shared" si="90"/>
        <v>6944</v>
      </c>
      <c r="EO279" s="1044">
        <f t="shared" si="82"/>
        <v>0</v>
      </c>
      <c r="EP279" s="1046">
        <f t="shared" si="83"/>
        <v>6944</v>
      </c>
      <c r="EQ279" s="1044">
        <f t="shared" si="91"/>
        <v>10184</v>
      </c>
      <c r="ER279" s="1044">
        <f t="shared" si="92"/>
        <v>0</v>
      </c>
      <c r="ES279" s="1046">
        <f t="shared" si="84"/>
        <v>10184</v>
      </c>
      <c r="ET279" s="1044">
        <f t="shared" si="93"/>
        <v>228</v>
      </c>
      <c r="EU279" s="1044">
        <f t="shared" si="85"/>
        <v>0</v>
      </c>
      <c r="EV279" s="1046">
        <f t="shared" si="86"/>
        <v>228</v>
      </c>
    </row>
    <row r="280" spans="1:154" ht="12" customHeight="1" x14ac:dyDescent="0.25">
      <c r="A280" s="987" t="s">
        <v>240</v>
      </c>
      <c r="B280" s="935">
        <v>6</v>
      </c>
      <c r="C280" s="935">
        <v>5</v>
      </c>
      <c r="D280" s="935">
        <v>7</v>
      </c>
      <c r="E280" s="935">
        <v>6</v>
      </c>
      <c r="F280" s="935">
        <v>7</v>
      </c>
      <c r="G280" s="935">
        <v>6</v>
      </c>
      <c r="H280" s="935">
        <v>4</v>
      </c>
      <c r="EA280" s="1043">
        <f t="shared" si="75"/>
        <v>2030</v>
      </c>
      <c r="EB280" s="1048">
        <f>'[2]Úspora času'!CX10</f>
        <v>0</v>
      </c>
      <c r="EC280" s="1048">
        <f>'[2]Úspora času'!CY10</f>
        <v>0</v>
      </c>
      <c r="ED280" s="1048">
        <f>'[2]Úspora času'!DP10</f>
        <v>0</v>
      </c>
      <c r="EE280" s="1049">
        <f t="shared" si="87"/>
        <v>31730</v>
      </c>
      <c r="EF280" s="1044">
        <f t="shared" si="76"/>
        <v>0</v>
      </c>
      <c r="EG280" s="1046">
        <f t="shared" si="77"/>
        <v>31730</v>
      </c>
      <c r="EH280" s="1044">
        <f t="shared" si="88"/>
        <v>7948</v>
      </c>
      <c r="EI280" s="1044">
        <f t="shared" si="78"/>
        <v>0</v>
      </c>
      <c r="EJ280" s="1046">
        <f t="shared" si="79"/>
        <v>7948</v>
      </c>
      <c r="EK280" s="1044">
        <f t="shared" si="89"/>
        <v>228</v>
      </c>
      <c r="EL280" s="1044">
        <f t="shared" si="80"/>
        <v>0</v>
      </c>
      <c r="EM280" s="1046">
        <f t="shared" si="81"/>
        <v>228</v>
      </c>
      <c r="EN280" s="1044">
        <f t="shared" si="90"/>
        <v>6944</v>
      </c>
      <c r="EO280" s="1044">
        <f t="shared" si="82"/>
        <v>0</v>
      </c>
      <c r="EP280" s="1046">
        <f t="shared" si="83"/>
        <v>6944</v>
      </c>
      <c r="EQ280" s="1044">
        <f t="shared" si="91"/>
        <v>10184</v>
      </c>
      <c r="ER280" s="1044">
        <f t="shared" si="92"/>
        <v>0</v>
      </c>
      <c r="ES280" s="1046">
        <f t="shared" si="84"/>
        <v>10184</v>
      </c>
      <c r="ET280" s="1044">
        <f t="shared" si="93"/>
        <v>228</v>
      </c>
      <c r="EU280" s="1044">
        <f t="shared" si="85"/>
        <v>0</v>
      </c>
      <c r="EV280" s="1046">
        <f t="shared" si="86"/>
        <v>228</v>
      </c>
    </row>
    <row r="281" spans="1:154" ht="12" customHeight="1" x14ac:dyDescent="0.25">
      <c r="A281" s="987" t="s">
        <v>241</v>
      </c>
      <c r="B281" s="935">
        <v>1</v>
      </c>
      <c r="C281" s="935">
        <v>0</v>
      </c>
      <c r="D281" s="935">
        <v>0</v>
      </c>
      <c r="E281" s="935">
        <v>1</v>
      </c>
      <c r="F281" s="935">
        <v>0</v>
      </c>
      <c r="G281" s="935">
        <v>0</v>
      </c>
      <c r="H281" s="935">
        <v>0</v>
      </c>
      <c r="EA281" s="1043">
        <f t="shared" si="75"/>
        <v>2031</v>
      </c>
      <c r="EB281" s="1048">
        <f>'[2]Úspora času'!CX11</f>
        <v>0</v>
      </c>
      <c r="EC281" s="1048">
        <f>'[2]Úspora času'!CY11</f>
        <v>0</v>
      </c>
      <c r="ED281" s="1048">
        <f>'[2]Úspora času'!DP11</f>
        <v>0</v>
      </c>
      <c r="EE281" s="1049">
        <f t="shared" si="87"/>
        <v>31730</v>
      </c>
      <c r="EF281" s="1044">
        <f t="shared" si="76"/>
        <v>0</v>
      </c>
      <c r="EG281" s="1046">
        <f t="shared" si="77"/>
        <v>31730</v>
      </c>
      <c r="EH281" s="1044">
        <f t="shared" si="88"/>
        <v>7948</v>
      </c>
      <c r="EI281" s="1044">
        <f t="shared" si="78"/>
        <v>0</v>
      </c>
      <c r="EJ281" s="1046">
        <f t="shared" si="79"/>
        <v>7948</v>
      </c>
      <c r="EK281" s="1044">
        <f t="shared" si="89"/>
        <v>228</v>
      </c>
      <c r="EL281" s="1044">
        <f t="shared" si="80"/>
        <v>0</v>
      </c>
      <c r="EM281" s="1046">
        <f t="shared" si="81"/>
        <v>228</v>
      </c>
      <c r="EN281" s="1044">
        <f t="shared" si="90"/>
        <v>6944</v>
      </c>
      <c r="EO281" s="1044">
        <f t="shared" si="82"/>
        <v>0</v>
      </c>
      <c r="EP281" s="1046">
        <f t="shared" si="83"/>
        <v>6944</v>
      </c>
      <c r="EQ281" s="1044">
        <f t="shared" si="91"/>
        <v>10184</v>
      </c>
      <c r="ER281" s="1044">
        <f t="shared" si="92"/>
        <v>0</v>
      </c>
      <c r="ES281" s="1046">
        <f t="shared" si="84"/>
        <v>10184</v>
      </c>
      <c r="ET281" s="1044">
        <f t="shared" si="93"/>
        <v>228</v>
      </c>
      <c r="EU281" s="1044">
        <f t="shared" si="85"/>
        <v>0</v>
      </c>
      <c r="EV281" s="1046">
        <f t="shared" si="86"/>
        <v>228</v>
      </c>
    </row>
    <row r="282" spans="1:154" x14ac:dyDescent="0.25">
      <c r="EA282" s="1043">
        <f t="shared" si="75"/>
        <v>2032</v>
      </c>
      <c r="EB282" s="1048">
        <f>'[2]Úspora času'!CX12</f>
        <v>0</v>
      </c>
      <c r="EC282" s="1048">
        <f>'[2]Úspora času'!CY12</f>
        <v>0</v>
      </c>
      <c r="ED282" s="1048">
        <f>'[2]Úspora času'!DP12</f>
        <v>0</v>
      </c>
      <c r="EE282" s="1049">
        <f t="shared" si="87"/>
        <v>31730</v>
      </c>
      <c r="EF282" s="1044">
        <f t="shared" si="76"/>
        <v>0</v>
      </c>
      <c r="EG282" s="1046">
        <f t="shared" si="77"/>
        <v>31730</v>
      </c>
      <c r="EH282" s="1044">
        <f t="shared" si="88"/>
        <v>7948</v>
      </c>
      <c r="EI282" s="1044">
        <f t="shared" si="78"/>
        <v>0</v>
      </c>
      <c r="EJ282" s="1046">
        <f t="shared" si="79"/>
        <v>7948</v>
      </c>
      <c r="EK282" s="1044">
        <f t="shared" si="89"/>
        <v>228</v>
      </c>
      <c r="EL282" s="1044">
        <f t="shared" si="80"/>
        <v>0</v>
      </c>
      <c r="EM282" s="1046">
        <f t="shared" si="81"/>
        <v>228</v>
      </c>
      <c r="EN282" s="1044">
        <f t="shared" si="90"/>
        <v>6944</v>
      </c>
      <c r="EO282" s="1044">
        <f t="shared" si="82"/>
        <v>0</v>
      </c>
      <c r="EP282" s="1046">
        <f t="shared" si="83"/>
        <v>6944</v>
      </c>
      <c r="EQ282" s="1044">
        <f t="shared" si="91"/>
        <v>10184</v>
      </c>
      <c r="ER282" s="1044">
        <f t="shared" si="92"/>
        <v>0</v>
      </c>
      <c r="ES282" s="1046">
        <f t="shared" si="84"/>
        <v>10184</v>
      </c>
      <c r="ET282" s="1044">
        <f t="shared" si="93"/>
        <v>228</v>
      </c>
      <c r="EU282" s="1044">
        <f t="shared" si="85"/>
        <v>0</v>
      </c>
      <c r="EV282" s="1046">
        <f t="shared" si="86"/>
        <v>228</v>
      </c>
    </row>
    <row r="283" spans="1:154" ht="12" customHeight="1" x14ac:dyDescent="0.25">
      <c r="A283" s="1070" t="s">
        <v>841</v>
      </c>
      <c r="B283" s="1071"/>
      <c r="C283" s="1071"/>
      <c r="D283" s="1071"/>
      <c r="E283" s="1071"/>
      <c r="F283" s="1071"/>
      <c r="G283" s="1071"/>
      <c r="H283" s="1071"/>
      <c r="EA283" s="1043">
        <f t="shared" si="75"/>
        <v>2033</v>
      </c>
      <c r="EB283" s="1048">
        <f>'[2]Úspora času'!CX13</f>
        <v>0</v>
      </c>
      <c r="EC283" s="1048">
        <f>'[2]Úspora času'!CY13</f>
        <v>0</v>
      </c>
      <c r="ED283" s="1048">
        <f>'[2]Úspora času'!DP13</f>
        <v>0</v>
      </c>
      <c r="EE283" s="1049">
        <f t="shared" si="87"/>
        <v>31730</v>
      </c>
      <c r="EF283" s="1044">
        <f t="shared" si="76"/>
        <v>0</v>
      </c>
      <c r="EG283" s="1046">
        <f t="shared" si="77"/>
        <v>31730</v>
      </c>
      <c r="EH283" s="1044">
        <f t="shared" si="88"/>
        <v>7948</v>
      </c>
      <c r="EI283" s="1044">
        <f t="shared" si="78"/>
        <v>0</v>
      </c>
      <c r="EJ283" s="1046">
        <f t="shared" si="79"/>
        <v>7948</v>
      </c>
      <c r="EK283" s="1044">
        <f t="shared" si="89"/>
        <v>228</v>
      </c>
      <c r="EL283" s="1044">
        <f t="shared" si="80"/>
        <v>0</v>
      </c>
      <c r="EM283" s="1046">
        <f t="shared" si="81"/>
        <v>228</v>
      </c>
      <c r="EN283" s="1044">
        <f t="shared" si="90"/>
        <v>6944</v>
      </c>
      <c r="EO283" s="1044">
        <f t="shared" si="82"/>
        <v>0</v>
      </c>
      <c r="EP283" s="1046">
        <f t="shared" si="83"/>
        <v>6944</v>
      </c>
      <c r="EQ283" s="1044">
        <f t="shared" si="91"/>
        <v>10184</v>
      </c>
      <c r="ER283" s="1044">
        <f t="shared" si="92"/>
        <v>0</v>
      </c>
      <c r="ES283" s="1046">
        <f t="shared" si="84"/>
        <v>10184</v>
      </c>
      <c r="ET283" s="1044">
        <f t="shared" si="93"/>
        <v>228</v>
      </c>
      <c r="EU283" s="1044">
        <f t="shared" si="85"/>
        <v>0</v>
      </c>
      <c r="EV283" s="1046">
        <f t="shared" si="86"/>
        <v>228</v>
      </c>
    </row>
    <row r="284" spans="1:154" ht="12" customHeight="1" x14ac:dyDescent="0.25">
      <c r="A284" s="935"/>
      <c r="B284" s="936" t="s">
        <v>868</v>
      </c>
      <c r="C284" s="936" t="s">
        <v>869</v>
      </c>
      <c r="D284" s="936" t="s">
        <v>870</v>
      </c>
      <c r="E284" s="936" t="s">
        <v>871</v>
      </c>
      <c r="F284" s="936" t="s">
        <v>850</v>
      </c>
      <c r="G284" s="936" t="s">
        <v>851</v>
      </c>
      <c r="H284" s="936" t="s">
        <v>852</v>
      </c>
      <c r="EA284" s="1043">
        <f t="shared" si="75"/>
        <v>2034</v>
      </c>
      <c r="EB284" s="1048">
        <f>'[2]Úspora času'!CX14</f>
        <v>3</v>
      </c>
      <c r="EC284" s="1048">
        <f>'[2]Úspora času'!CY14</f>
        <v>100</v>
      </c>
      <c r="ED284" s="1048">
        <f>'[2]Úspora času'!DP14</f>
        <v>3</v>
      </c>
      <c r="EE284" s="1049">
        <f t="shared" si="87"/>
        <v>31730</v>
      </c>
      <c r="EF284" s="1044">
        <f t="shared" si="76"/>
        <v>4172.7123287671229</v>
      </c>
      <c r="EG284" s="1045">
        <f t="shared" si="77"/>
        <v>27557.287671232876</v>
      </c>
      <c r="EH284" s="1044">
        <f t="shared" si="88"/>
        <v>7948</v>
      </c>
      <c r="EI284" s="1044">
        <f t="shared" si="78"/>
        <v>65.326027397260276</v>
      </c>
      <c r="EJ284" s="1045">
        <f t="shared" si="79"/>
        <v>7882.6739726027399</v>
      </c>
      <c r="EK284" s="1044">
        <f t="shared" si="89"/>
        <v>228</v>
      </c>
      <c r="EL284" s="1044">
        <f t="shared" si="80"/>
        <v>29.983561643835618</v>
      </c>
      <c r="EM284" s="1045">
        <f t="shared" si="81"/>
        <v>198.01643835616437</v>
      </c>
      <c r="EN284" s="1044">
        <f t="shared" si="90"/>
        <v>6944</v>
      </c>
      <c r="EO284" s="1044">
        <f t="shared" si="82"/>
        <v>57.07397260273973</v>
      </c>
      <c r="EP284" s="1045">
        <f t="shared" si="83"/>
        <v>6886.9260273972604</v>
      </c>
      <c r="EQ284" s="1044">
        <f t="shared" si="91"/>
        <v>10184</v>
      </c>
      <c r="ER284" s="1044">
        <f t="shared" si="92"/>
        <v>83.704109589041096</v>
      </c>
      <c r="ES284" s="1045">
        <f t="shared" si="84"/>
        <v>10100.295890410958</v>
      </c>
      <c r="ET284" s="1044">
        <f t="shared" si="93"/>
        <v>228</v>
      </c>
      <c r="EU284" s="1044">
        <f t="shared" si="85"/>
        <v>1.8739726027397259</v>
      </c>
      <c r="EV284" s="1045">
        <f t="shared" si="86"/>
        <v>226.12602739726029</v>
      </c>
    </row>
    <row r="285" spans="1:154" ht="12" customHeight="1" x14ac:dyDescent="0.25">
      <c r="A285" s="987" t="s">
        <v>241</v>
      </c>
      <c r="B285" s="935">
        <v>1</v>
      </c>
      <c r="C285" s="935">
        <v>0</v>
      </c>
      <c r="D285" s="935">
        <v>0</v>
      </c>
      <c r="E285" s="935">
        <v>1</v>
      </c>
      <c r="F285" s="935">
        <v>0</v>
      </c>
      <c r="G285" s="935">
        <v>0</v>
      </c>
      <c r="H285" s="935">
        <v>0</v>
      </c>
      <c r="EA285" s="1043">
        <f t="shared" si="75"/>
        <v>2035</v>
      </c>
      <c r="EB285" s="1048">
        <f>'[2]Úspora času'!CX15</f>
        <v>0</v>
      </c>
      <c r="EC285" s="1048">
        <f>'[2]Úspora času'!CY15</f>
        <v>0</v>
      </c>
      <c r="ED285" s="1048">
        <f>'[2]Úspora času'!DP15</f>
        <v>0</v>
      </c>
      <c r="EE285" s="1049">
        <f t="shared" si="87"/>
        <v>31730</v>
      </c>
      <c r="EF285" s="1044">
        <f t="shared" si="76"/>
        <v>0</v>
      </c>
      <c r="EG285" s="1046">
        <f t="shared" si="77"/>
        <v>31730</v>
      </c>
      <c r="EH285" s="1044">
        <f t="shared" si="88"/>
        <v>7948</v>
      </c>
      <c r="EI285" s="1044">
        <f t="shared" si="78"/>
        <v>0</v>
      </c>
      <c r="EJ285" s="1046">
        <f t="shared" si="79"/>
        <v>7948</v>
      </c>
      <c r="EK285" s="1044">
        <f t="shared" si="89"/>
        <v>228</v>
      </c>
      <c r="EL285" s="1044">
        <f t="shared" si="80"/>
        <v>0</v>
      </c>
      <c r="EM285" s="1046">
        <f t="shared" si="81"/>
        <v>228</v>
      </c>
      <c r="EN285" s="1044">
        <f t="shared" si="90"/>
        <v>6944</v>
      </c>
      <c r="EO285" s="1044">
        <f t="shared" si="82"/>
        <v>0</v>
      </c>
      <c r="EP285" s="1046">
        <f t="shared" si="83"/>
        <v>6944</v>
      </c>
      <c r="EQ285" s="1044">
        <f t="shared" si="91"/>
        <v>10184</v>
      </c>
      <c r="ER285" s="1044">
        <f t="shared" si="92"/>
        <v>0</v>
      </c>
      <c r="ES285" s="1046">
        <f t="shared" si="84"/>
        <v>10184</v>
      </c>
      <c r="ET285" s="1044">
        <f t="shared" si="93"/>
        <v>228</v>
      </c>
      <c r="EU285" s="1044">
        <f t="shared" si="85"/>
        <v>0</v>
      </c>
      <c r="EV285" s="1046">
        <f t="shared" si="86"/>
        <v>228</v>
      </c>
    </row>
    <row r="286" spans="1:154" x14ac:dyDescent="0.25">
      <c r="EA286" s="1043">
        <f t="shared" si="75"/>
        <v>2036</v>
      </c>
      <c r="EB286" s="1048">
        <f>'[2]Úspora času'!CX16</f>
        <v>0</v>
      </c>
      <c r="EC286" s="1048">
        <f>'[2]Úspora času'!CY16</f>
        <v>0</v>
      </c>
      <c r="ED286" s="1048">
        <f>'[2]Úspora času'!DP16</f>
        <v>0</v>
      </c>
      <c r="EE286" s="1049">
        <f t="shared" si="87"/>
        <v>31730</v>
      </c>
      <c r="EF286" s="1044">
        <f t="shared" si="76"/>
        <v>0</v>
      </c>
      <c r="EG286" s="1046">
        <f t="shared" si="77"/>
        <v>31730</v>
      </c>
      <c r="EH286" s="1044">
        <f t="shared" si="88"/>
        <v>7948</v>
      </c>
      <c r="EI286" s="1044">
        <f t="shared" si="78"/>
        <v>0</v>
      </c>
      <c r="EJ286" s="1046">
        <f t="shared" si="79"/>
        <v>7948</v>
      </c>
      <c r="EK286" s="1044">
        <f t="shared" si="89"/>
        <v>228</v>
      </c>
      <c r="EL286" s="1044">
        <f t="shared" si="80"/>
        <v>0</v>
      </c>
      <c r="EM286" s="1046">
        <f t="shared" si="81"/>
        <v>228</v>
      </c>
      <c r="EN286" s="1044">
        <f t="shared" si="90"/>
        <v>6944</v>
      </c>
      <c r="EO286" s="1044">
        <f t="shared" si="82"/>
        <v>0</v>
      </c>
      <c r="EP286" s="1046">
        <f t="shared" si="83"/>
        <v>6944</v>
      </c>
      <c r="EQ286" s="1044">
        <f t="shared" si="91"/>
        <v>10184</v>
      </c>
      <c r="ER286" s="1044">
        <f t="shared" si="92"/>
        <v>0</v>
      </c>
      <c r="ES286" s="1046">
        <f t="shared" si="84"/>
        <v>10184</v>
      </c>
      <c r="ET286" s="1044">
        <f t="shared" si="93"/>
        <v>228</v>
      </c>
      <c r="EU286" s="1044">
        <f t="shared" si="85"/>
        <v>0</v>
      </c>
      <c r="EV286" s="1046">
        <f t="shared" si="86"/>
        <v>228</v>
      </c>
    </row>
    <row r="287" spans="1:154" ht="12" customHeight="1" x14ac:dyDescent="0.25">
      <c r="A287" s="1070" t="s">
        <v>842</v>
      </c>
      <c r="B287" s="1071"/>
      <c r="C287" s="1071"/>
      <c r="D287" s="1071"/>
      <c r="E287" s="1071"/>
      <c r="F287" s="1071"/>
      <c r="G287" s="1071"/>
      <c r="H287" s="1071"/>
      <c r="EA287" s="1043">
        <f t="shared" si="75"/>
        <v>2037</v>
      </c>
      <c r="EB287" s="1048">
        <f>'[2]Úspora času'!CX17</f>
        <v>0</v>
      </c>
      <c r="EC287" s="1048">
        <f>'[2]Úspora času'!CY17</f>
        <v>0</v>
      </c>
      <c r="ED287" s="1048">
        <f>'[2]Úspora času'!DP17</f>
        <v>0</v>
      </c>
      <c r="EE287" s="1049">
        <f t="shared" si="87"/>
        <v>31730</v>
      </c>
      <c r="EF287" s="1044">
        <f t="shared" si="76"/>
        <v>0</v>
      </c>
      <c r="EG287" s="1046">
        <f t="shared" si="77"/>
        <v>31730</v>
      </c>
      <c r="EH287" s="1044">
        <f t="shared" si="88"/>
        <v>7948</v>
      </c>
      <c r="EI287" s="1044">
        <f t="shared" si="78"/>
        <v>0</v>
      </c>
      <c r="EJ287" s="1046">
        <f t="shared" si="79"/>
        <v>7948</v>
      </c>
      <c r="EK287" s="1044">
        <f t="shared" si="89"/>
        <v>228</v>
      </c>
      <c r="EL287" s="1044">
        <f t="shared" si="80"/>
        <v>0</v>
      </c>
      <c r="EM287" s="1046">
        <f t="shared" si="81"/>
        <v>228</v>
      </c>
      <c r="EN287" s="1044">
        <f t="shared" si="90"/>
        <v>6944</v>
      </c>
      <c r="EO287" s="1044">
        <f t="shared" si="82"/>
        <v>0</v>
      </c>
      <c r="EP287" s="1046">
        <f t="shared" si="83"/>
        <v>6944</v>
      </c>
      <c r="EQ287" s="1044">
        <f t="shared" si="91"/>
        <v>10184</v>
      </c>
      <c r="ER287" s="1044">
        <f t="shared" si="92"/>
        <v>0</v>
      </c>
      <c r="ES287" s="1046">
        <f t="shared" si="84"/>
        <v>10184</v>
      </c>
      <c r="ET287" s="1044">
        <f t="shared" si="93"/>
        <v>228</v>
      </c>
      <c r="EU287" s="1044">
        <f t="shared" si="85"/>
        <v>0</v>
      </c>
      <c r="EV287" s="1046">
        <f t="shared" si="86"/>
        <v>228</v>
      </c>
    </row>
    <row r="288" spans="1:154" ht="12" customHeight="1" x14ac:dyDescent="0.25">
      <c r="A288" s="935"/>
      <c r="B288" s="936" t="s">
        <v>868</v>
      </c>
      <c r="C288" s="936" t="s">
        <v>869</v>
      </c>
      <c r="D288" s="936" t="s">
        <v>870</v>
      </c>
      <c r="E288" s="936" t="s">
        <v>871</v>
      </c>
      <c r="F288" s="936" t="s">
        <v>850</v>
      </c>
      <c r="G288" s="936" t="s">
        <v>851</v>
      </c>
      <c r="H288" s="936" t="s">
        <v>852</v>
      </c>
      <c r="EA288" s="1043">
        <f t="shared" si="75"/>
        <v>2038</v>
      </c>
      <c r="EB288" s="1048">
        <f>'[2]Úspora času'!CX18</f>
        <v>0</v>
      </c>
      <c r="EC288" s="1048">
        <f>'[2]Úspora času'!CY18</f>
        <v>0</v>
      </c>
      <c r="ED288" s="1048">
        <f>'[2]Úspora času'!DP18</f>
        <v>0</v>
      </c>
      <c r="EE288" s="1049">
        <f t="shared" si="87"/>
        <v>31730</v>
      </c>
      <c r="EF288" s="1044">
        <f t="shared" si="76"/>
        <v>0</v>
      </c>
      <c r="EG288" s="1046">
        <f t="shared" si="77"/>
        <v>31730</v>
      </c>
      <c r="EH288" s="1044">
        <f t="shared" si="88"/>
        <v>7948</v>
      </c>
      <c r="EI288" s="1044">
        <f t="shared" si="78"/>
        <v>0</v>
      </c>
      <c r="EJ288" s="1046">
        <f t="shared" si="79"/>
        <v>7948</v>
      </c>
      <c r="EK288" s="1044">
        <f t="shared" si="89"/>
        <v>228</v>
      </c>
      <c r="EL288" s="1044">
        <f t="shared" si="80"/>
        <v>0</v>
      </c>
      <c r="EM288" s="1046">
        <f t="shared" si="81"/>
        <v>228</v>
      </c>
      <c r="EN288" s="1044">
        <f t="shared" si="90"/>
        <v>6944</v>
      </c>
      <c r="EO288" s="1044">
        <f t="shared" si="82"/>
        <v>0</v>
      </c>
      <c r="EP288" s="1046">
        <f t="shared" si="83"/>
        <v>6944</v>
      </c>
      <c r="EQ288" s="1044">
        <f t="shared" si="91"/>
        <v>10184</v>
      </c>
      <c r="ER288" s="1044">
        <f t="shared" si="92"/>
        <v>0</v>
      </c>
      <c r="ES288" s="1046">
        <f t="shared" si="84"/>
        <v>10184</v>
      </c>
      <c r="ET288" s="1044">
        <f t="shared" si="93"/>
        <v>228</v>
      </c>
      <c r="EU288" s="1044">
        <f t="shared" si="85"/>
        <v>0</v>
      </c>
      <c r="EV288" s="1046">
        <f t="shared" si="86"/>
        <v>228</v>
      </c>
    </row>
    <row r="289" spans="1:152" ht="12" customHeight="1" x14ac:dyDescent="0.25">
      <c r="A289" s="987" t="s">
        <v>241</v>
      </c>
      <c r="B289" s="935">
        <v>1</v>
      </c>
      <c r="C289" s="935">
        <v>0</v>
      </c>
      <c r="D289" s="935">
        <v>0</v>
      </c>
      <c r="E289" s="935">
        <v>1</v>
      </c>
      <c r="F289" s="935">
        <v>0</v>
      </c>
      <c r="G289" s="935">
        <v>0</v>
      </c>
      <c r="H289" s="935">
        <v>0</v>
      </c>
      <c r="EA289" s="1043">
        <f t="shared" si="75"/>
        <v>2039</v>
      </c>
      <c r="EB289" s="1048">
        <f>'[2]Úspora času'!CX19</f>
        <v>0</v>
      </c>
      <c r="EC289" s="1048">
        <f>'[2]Úspora času'!CY19</f>
        <v>0</v>
      </c>
      <c r="ED289" s="1048">
        <f>'[2]Úspora času'!DP19</f>
        <v>0</v>
      </c>
      <c r="EE289" s="1049">
        <f t="shared" si="87"/>
        <v>31730</v>
      </c>
      <c r="EF289" s="1044">
        <f t="shared" si="76"/>
        <v>0</v>
      </c>
      <c r="EG289" s="1046">
        <f t="shared" si="77"/>
        <v>31730</v>
      </c>
      <c r="EH289" s="1044">
        <f t="shared" si="88"/>
        <v>7948</v>
      </c>
      <c r="EI289" s="1044">
        <f t="shared" si="78"/>
        <v>0</v>
      </c>
      <c r="EJ289" s="1046">
        <f t="shared" si="79"/>
        <v>7948</v>
      </c>
      <c r="EK289" s="1044">
        <f t="shared" si="89"/>
        <v>228</v>
      </c>
      <c r="EL289" s="1044">
        <f t="shared" si="80"/>
        <v>0</v>
      </c>
      <c r="EM289" s="1046">
        <f t="shared" si="81"/>
        <v>228</v>
      </c>
      <c r="EN289" s="1044">
        <f t="shared" si="90"/>
        <v>6944</v>
      </c>
      <c r="EO289" s="1044">
        <f t="shared" si="82"/>
        <v>0</v>
      </c>
      <c r="EP289" s="1046">
        <f t="shared" si="83"/>
        <v>6944</v>
      </c>
      <c r="EQ289" s="1044">
        <f t="shared" si="91"/>
        <v>10184</v>
      </c>
      <c r="ER289" s="1044">
        <f t="shared" si="92"/>
        <v>0</v>
      </c>
      <c r="ES289" s="1046">
        <f t="shared" si="84"/>
        <v>10184</v>
      </c>
      <c r="ET289" s="1044">
        <f t="shared" si="93"/>
        <v>228</v>
      </c>
      <c r="EU289" s="1044">
        <f t="shared" si="85"/>
        <v>0</v>
      </c>
      <c r="EV289" s="1046">
        <f t="shared" si="86"/>
        <v>228</v>
      </c>
    </row>
    <row r="290" spans="1:152" x14ac:dyDescent="0.25">
      <c r="EA290" s="1043">
        <f t="shared" si="75"/>
        <v>2040</v>
      </c>
      <c r="EB290" s="1048">
        <f>'[2]Úspora času'!CX20</f>
        <v>0</v>
      </c>
      <c r="EC290" s="1048">
        <f>'[2]Úspora času'!CY20</f>
        <v>0</v>
      </c>
      <c r="ED290" s="1048">
        <f>'[2]Úspora času'!DP20</f>
        <v>0</v>
      </c>
      <c r="EE290" s="1049">
        <f t="shared" si="87"/>
        <v>31730</v>
      </c>
      <c r="EF290" s="1044">
        <f t="shared" si="76"/>
        <v>0</v>
      </c>
      <c r="EG290" s="1046">
        <f t="shared" si="77"/>
        <v>31730</v>
      </c>
      <c r="EH290" s="1044">
        <f t="shared" si="88"/>
        <v>7948</v>
      </c>
      <c r="EI290" s="1044">
        <f t="shared" si="78"/>
        <v>0</v>
      </c>
      <c r="EJ290" s="1046">
        <f t="shared" si="79"/>
        <v>7948</v>
      </c>
      <c r="EK290" s="1044">
        <f t="shared" si="89"/>
        <v>228</v>
      </c>
      <c r="EL290" s="1044">
        <f t="shared" si="80"/>
        <v>0</v>
      </c>
      <c r="EM290" s="1046">
        <f t="shared" si="81"/>
        <v>228</v>
      </c>
      <c r="EN290" s="1044">
        <f t="shared" si="90"/>
        <v>6944</v>
      </c>
      <c r="EO290" s="1044">
        <f t="shared" si="82"/>
        <v>0</v>
      </c>
      <c r="EP290" s="1046">
        <f t="shared" si="83"/>
        <v>6944</v>
      </c>
      <c r="EQ290" s="1044">
        <f t="shared" si="91"/>
        <v>10184</v>
      </c>
      <c r="ER290" s="1044">
        <f t="shared" si="92"/>
        <v>0</v>
      </c>
      <c r="ES290" s="1046">
        <f t="shared" si="84"/>
        <v>10184</v>
      </c>
      <c r="ET290" s="1044">
        <f t="shared" si="93"/>
        <v>228</v>
      </c>
      <c r="EU290" s="1044">
        <f t="shared" si="85"/>
        <v>0</v>
      </c>
      <c r="EV290" s="1046">
        <f t="shared" si="86"/>
        <v>228</v>
      </c>
    </row>
    <row r="291" spans="1:152" ht="30" customHeight="1" x14ac:dyDescent="0.25">
      <c r="A291" s="986" t="s">
        <v>873</v>
      </c>
      <c r="B291" s="1077" t="s">
        <v>874</v>
      </c>
      <c r="C291" s="1077"/>
      <c r="D291" s="1077" t="s">
        <v>875</v>
      </c>
      <c r="E291" s="1077"/>
      <c r="EA291" s="1043">
        <f t="shared" si="75"/>
        <v>2041</v>
      </c>
      <c r="EB291" s="1048">
        <f>'[2]Úspora času'!CX21</f>
        <v>5</v>
      </c>
      <c r="EC291" s="1048">
        <f>'[2]Úspora času'!CY21</f>
        <v>230</v>
      </c>
      <c r="ED291" s="1048">
        <f>'[2]Úspora času'!DP21</f>
        <v>5</v>
      </c>
      <c r="EE291" s="1049">
        <f t="shared" si="87"/>
        <v>31730</v>
      </c>
      <c r="EF291" s="1044">
        <f t="shared" si="76"/>
        <v>9432.0684931506839</v>
      </c>
      <c r="EG291" s="1045">
        <f t="shared" si="77"/>
        <v>22297.931506849316</v>
      </c>
      <c r="EH291" s="1044">
        <f t="shared" si="88"/>
        <v>7948</v>
      </c>
      <c r="EI291" s="1044">
        <f t="shared" si="78"/>
        <v>108.87671232876713</v>
      </c>
      <c r="EJ291" s="1045">
        <f t="shared" si="79"/>
        <v>7839.1232876712329</v>
      </c>
      <c r="EK291" s="1044">
        <f t="shared" si="89"/>
        <v>228</v>
      </c>
      <c r="EL291" s="1044">
        <f t="shared" si="80"/>
        <v>67.775342465753425</v>
      </c>
      <c r="EM291" s="1045">
        <f t="shared" si="81"/>
        <v>160.22465753424657</v>
      </c>
      <c r="EN291" s="1044">
        <f t="shared" si="90"/>
        <v>6944</v>
      </c>
      <c r="EO291" s="1044">
        <f t="shared" si="82"/>
        <v>95.123287671232873</v>
      </c>
      <c r="EP291" s="1045">
        <f t="shared" si="83"/>
        <v>6848.8767123287671</v>
      </c>
      <c r="EQ291" s="1044">
        <f t="shared" si="91"/>
        <v>10184</v>
      </c>
      <c r="ER291" s="1044">
        <f t="shared" si="92"/>
        <v>139.50684931506851</v>
      </c>
      <c r="ES291" s="1045">
        <f t="shared" si="84"/>
        <v>10044.493150684932</v>
      </c>
      <c r="ET291" s="1044">
        <f t="shared" si="93"/>
        <v>228</v>
      </c>
      <c r="EU291" s="1044">
        <f t="shared" si="85"/>
        <v>3.1232876712328768</v>
      </c>
      <c r="EV291" s="1045">
        <f t="shared" si="86"/>
        <v>224.87671232876713</v>
      </c>
    </row>
    <row r="292" spans="1:152" ht="12" customHeight="1" x14ac:dyDescent="0.25">
      <c r="A292" s="986">
        <v>2020</v>
      </c>
      <c r="B292" s="1071">
        <v>21</v>
      </c>
      <c r="C292" s="1071"/>
      <c r="D292" s="1071">
        <v>25</v>
      </c>
      <c r="E292" s="1071"/>
      <c r="EA292" s="1043">
        <f t="shared" si="75"/>
        <v>2042</v>
      </c>
      <c r="EB292" s="1048">
        <f>'[2]Úspora času'!CX22</f>
        <v>3</v>
      </c>
      <c r="EC292" s="1048">
        <f>'[2]Úspora času'!CY22</f>
        <v>14</v>
      </c>
      <c r="ED292" s="1048">
        <f>'[2]Úspora času'!DP22</f>
        <v>3</v>
      </c>
      <c r="EE292" s="1049">
        <f t="shared" si="87"/>
        <v>31730</v>
      </c>
      <c r="EF292" s="1044">
        <f t="shared" si="76"/>
        <v>808.46301369863022</v>
      </c>
      <c r="EG292" s="1045">
        <f t="shared" si="77"/>
        <v>30921.536986301369</v>
      </c>
      <c r="EH292" s="1044">
        <f t="shared" si="88"/>
        <v>7948</v>
      </c>
      <c r="EI292" s="1044">
        <f t="shared" si="78"/>
        <v>65.326027397260276</v>
      </c>
      <c r="EJ292" s="1045">
        <f t="shared" si="79"/>
        <v>7882.6739726027399</v>
      </c>
      <c r="EK292" s="1044">
        <f t="shared" si="89"/>
        <v>228</v>
      </c>
      <c r="EL292" s="1044">
        <f t="shared" si="80"/>
        <v>5.8093150684931505</v>
      </c>
      <c r="EM292" s="1045">
        <f t="shared" si="81"/>
        <v>222.19068493150684</v>
      </c>
      <c r="EN292" s="1044">
        <f t="shared" si="90"/>
        <v>6944</v>
      </c>
      <c r="EO292" s="1044">
        <f t="shared" si="82"/>
        <v>57.07397260273973</v>
      </c>
      <c r="EP292" s="1046">
        <f t="shared" si="83"/>
        <v>6886.9260273972604</v>
      </c>
      <c r="EQ292" s="1044">
        <f t="shared" si="91"/>
        <v>10184</v>
      </c>
      <c r="ER292" s="1044">
        <f t="shared" si="92"/>
        <v>83.704109589041096</v>
      </c>
      <c r="ES292" s="1046">
        <f t="shared" si="84"/>
        <v>10100.295890410958</v>
      </c>
      <c r="ET292" s="1044">
        <f t="shared" si="93"/>
        <v>228</v>
      </c>
      <c r="EU292" s="1044">
        <f t="shared" si="85"/>
        <v>1.8739726027397259</v>
      </c>
      <c r="EV292" s="1046">
        <f t="shared" si="86"/>
        <v>226.12602739726029</v>
      </c>
    </row>
    <row r="293" spans="1:152" ht="12" customHeight="1" x14ac:dyDescent="0.25">
      <c r="A293" s="986">
        <v>2025</v>
      </c>
      <c r="B293" s="1071">
        <v>46</v>
      </c>
      <c r="C293" s="1071"/>
      <c r="D293" s="1071">
        <v>60</v>
      </c>
      <c r="E293" s="1071"/>
      <c r="EA293" s="1043">
        <f t="shared" si="75"/>
        <v>2043</v>
      </c>
      <c r="EB293" s="1048">
        <f>'[2]Úspora času'!CX23</f>
        <v>0</v>
      </c>
      <c r="EC293" s="1048">
        <f>'[2]Úspora času'!CY23</f>
        <v>0</v>
      </c>
      <c r="ED293" s="1048">
        <f>'[2]Úspora času'!DP23</f>
        <v>0</v>
      </c>
      <c r="EE293" s="1049">
        <f t="shared" si="87"/>
        <v>31730</v>
      </c>
      <c r="EF293" s="1044">
        <f t="shared" si="76"/>
        <v>0</v>
      </c>
      <c r="EG293" s="1046">
        <f t="shared" si="77"/>
        <v>31730</v>
      </c>
      <c r="EH293" s="1044">
        <f t="shared" si="88"/>
        <v>7948</v>
      </c>
      <c r="EI293" s="1044">
        <f t="shared" si="78"/>
        <v>0</v>
      </c>
      <c r="EJ293" s="1046">
        <f t="shared" si="79"/>
        <v>7948</v>
      </c>
      <c r="EK293" s="1044">
        <f t="shared" si="89"/>
        <v>228</v>
      </c>
      <c r="EL293" s="1044">
        <f t="shared" si="80"/>
        <v>0</v>
      </c>
      <c r="EM293" s="1046">
        <f t="shared" si="81"/>
        <v>228</v>
      </c>
      <c r="EN293" s="1044">
        <f t="shared" si="90"/>
        <v>6944</v>
      </c>
      <c r="EO293" s="1044">
        <f t="shared" si="82"/>
        <v>0</v>
      </c>
      <c r="EP293" s="1046">
        <f t="shared" si="83"/>
        <v>6944</v>
      </c>
      <c r="EQ293" s="1044">
        <f t="shared" si="91"/>
        <v>10184</v>
      </c>
      <c r="ER293" s="1044">
        <f t="shared" si="92"/>
        <v>0</v>
      </c>
      <c r="ES293" s="1046">
        <f t="shared" si="84"/>
        <v>10184</v>
      </c>
      <c r="ET293" s="1044">
        <f t="shared" si="93"/>
        <v>228</v>
      </c>
      <c r="EU293" s="1044">
        <f t="shared" si="85"/>
        <v>0</v>
      </c>
      <c r="EV293" s="1046">
        <f t="shared" si="86"/>
        <v>228</v>
      </c>
    </row>
    <row r="294" spans="1:152" ht="12" customHeight="1" x14ac:dyDescent="0.25">
      <c r="A294" s="986">
        <v>2030</v>
      </c>
      <c r="B294" s="1071">
        <v>46</v>
      </c>
      <c r="C294" s="1071"/>
      <c r="D294" s="1071">
        <v>60</v>
      </c>
      <c r="E294" s="1071"/>
      <c r="EA294" s="1043">
        <f t="shared" si="75"/>
        <v>2044</v>
      </c>
      <c r="EB294" s="1043">
        <f>'[2]Úspora času'!CX24</f>
        <v>0</v>
      </c>
      <c r="EC294" s="1048">
        <f>'[2]Úspora času'!CY24</f>
        <v>0</v>
      </c>
      <c r="ED294" s="1048">
        <f>'[2]Úspora času'!DP24</f>
        <v>0</v>
      </c>
      <c r="EE294" s="1049">
        <f t="shared" si="87"/>
        <v>31730</v>
      </c>
      <c r="EF294" s="1044">
        <f t="shared" si="76"/>
        <v>0</v>
      </c>
      <c r="EG294" s="1046">
        <f t="shared" si="77"/>
        <v>31730</v>
      </c>
      <c r="EH294" s="1044">
        <f t="shared" si="88"/>
        <v>7948</v>
      </c>
      <c r="EI294" s="1044">
        <f t="shared" si="78"/>
        <v>0</v>
      </c>
      <c r="EJ294" s="1046">
        <f t="shared" si="79"/>
        <v>7948</v>
      </c>
      <c r="EK294" s="1044">
        <f t="shared" si="89"/>
        <v>228</v>
      </c>
      <c r="EL294" s="1044">
        <f t="shared" si="80"/>
        <v>0</v>
      </c>
      <c r="EM294" s="1046">
        <f t="shared" si="81"/>
        <v>228</v>
      </c>
      <c r="EN294" s="1044">
        <f t="shared" si="90"/>
        <v>6944</v>
      </c>
      <c r="EO294" s="1044">
        <f t="shared" si="82"/>
        <v>0</v>
      </c>
      <c r="EP294" s="1046">
        <f t="shared" si="83"/>
        <v>6944</v>
      </c>
      <c r="EQ294" s="1044">
        <f t="shared" si="91"/>
        <v>10184</v>
      </c>
      <c r="ER294" s="1044">
        <f t="shared" si="92"/>
        <v>0</v>
      </c>
      <c r="ES294" s="1046">
        <f t="shared" si="84"/>
        <v>10184</v>
      </c>
      <c r="ET294" s="1044">
        <f t="shared" si="93"/>
        <v>228</v>
      </c>
      <c r="EU294" s="1044">
        <f t="shared" si="85"/>
        <v>0</v>
      </c>
      <c r="EV294" s="1046">
        <f t="shared" si="86"/>
        <v>228</v>
      </c>
    </row>
    <row r="295" spans="1:152" ht="12" customHeight="1" x14ac:dyDescent="0.25">
      <c r="A295" s="986">
        <v>2035</v>
      </c>
      <c r="B295" s="1071">
        <v>35</v>
      </c>
      <c r="C295" s="1071"/>
      <c r="D295" s="1071">
        <v>46</v>
      </c>
      <c r="E295" s="1071"/>
      <c r="EA295" s="1043">
        <f t="shared" si="75"/>
        <v>2045</v>
      </c>
      <c r="EB295" s="1048">
        <f>'[2]Úspora času'!CX25</f>
        <v>0</v>
      </c>
      <c r="EC295" s="1048">
        <f>'[2]Úspora času'!CY25</f>
        <v>0</v>
      </c>
      <c r="ED295" s="1048">
        <f>'[2]Úspora času'!DP25</f>
        <v>0</v>
      </c>
      <c r="EE295" s="1049">
        <f t="shared" si="87"/>
        <v>31730</v>
      </c>
      <c r="EF295" s="1044">
        <f t="shared" si="76"/>
        <v>0</v>
      </c>
      <c r="EG295" s="1046">
        <f t="shared" si="77"/>
        <v>31730</v>
      </c>
      <c r="EH295" s="1044">
        <f t="shared" si="88"/>
        <v>7948</v>
      </c>
      <c r="EI295" s="1044">
        <f t="shared" si="78"/>
        <v>0</v>
      </c>
      <c r="EJ295" s="1046">
        <f t="shared" si="79"/>
        <v>7948</v>
      </c>
      <c r="EK295" s="1044">
        <f t="shared" si="89"/>
        <v>228</v>
      </c>
      <c r="EL295" s="1044">
        <f t="shared" si="80"/>
        <v>0</v>
      </c>
      <c r="EM295" s="1046">
        <f t="shared" si="81"/>
        <v>228</v>
      </c>
      <c r="EN295" s="1044">
        <f t="shared" si="90"/>
        <v>6944</v>
      </c>
      <c r="EO295" s="1044">
        <f t="shared" si="82"/>
        <v>0</v>
      </c>
      <c r="EP295" s="1046">
        <f t="shared" si="83"/>
        <v>6944</v>
      </c>
      <c r="EQ295" s="1044">
        <f t="shared" si="91"/>
        <v>10184</v>
      </c>
      <c r="ER295" s="1044">
        <f t="shared" si="92"/>
        <v>0</v>
      </c>
      <c r="ES295" s="1046">
        <f t="shared" si="84"/>
        <v>10184</v>
      </c>
      <c r="ET295" s="1044">
        <f t="shared" si="93"/>
        <v>228</v>
      </c>
      <c r="EU295" s="1044">
        <f t="shared" si="85"/>
        <v>0</v>
      </c>
      <c r="EV295" s="1046">
        <f t="shared" si="86"/>
        <v>228</v>
      </c>
    </row>
    <row r="296" spans="1:152" ht="12" customHeight="1" x14ac:dyDescent="0.25">
      <c r="A296" s="986">
        <v>2055</v>
      </c>
      <c r="B296" s="1071">
        <v>60</v>
      </c>
      <c r="C296" s="1071"/>
      <c r="D296" s="1071">
        <v>81</v>
      </c>
      <c r="E296" s="1071"/>
      <c r="EA296" s="1043">
        <f t="shared" si="75"/>
        <v>2046</v>
      </c>
      <c r="EB296" s="1048">
        <f>'[2]Úspora času'!CX26</f>
        <v>0</v>
      </c>
      <c r="EC296" s="1048">
        <f>'[2]Úspora času'!CY26</f>
        <v>0</v>
      </c>
      <c r="ED296" s="1048">
        <f>'[2]Úspora času'!DP26</f>
        <v>0</v>
      </c>
      <c r="EE296" s="1049">
        <f t="shared" si="87"/>
        <v>31730</v>
      </c>
      <c r="EF296" s="1044">
        <f t="shared" si="76"/>
        <v>0</v>
      </c>
      <c r="EG296" s="1046">
        <f t="shared" si="77"/>
        <v>31730</v>
      </c>
      <c r="EH296" s="1044">
        <f t="shared" si="88"/>
        <v>7948</v>
      </c>
      <c r="EI296" s="1044">
        <f t="shared" si="78"/>
        <v>0</v>
      </c>
      <c r="EJ296" s="1046">
        <f t="shared" si="79"/>
        <v>7948</v>
      </c>
      <c r="EK296" s="1044">
        <f t="shared" si="89"/>
        <v>228</v>
      </c>
      <c r="EL296" s="1044">
        <f t="shared" si="80"/>
        <v>0</v>
      </c>
      <c r="EM296" s="1046">
        <f t="shared" si="81"/>
        <v>228</v>
      </c>
      <c r="EN296" s="1044">
        <f t="shared" si="90"/>
        <v>6944</v>
      </c>
      <c r="EO296" s="1044">
        <f t="shared" si="82"/>
        <v>0</v>
      </c>
      <c r="EP296" s="1046">
        <f t="shared" si="83"/>
        <v>6944</v>
      </c>
      <c r="EQ296" s="1044">
        <f t="shared" si="91"/>
        <v>10184</v>
      </c>
      <c r="ER296" s="1044">
        <f t="shared" si="92"/>
        <v>0</v>
      </c>
      <c r="ES296" s="1046">
        <f t="shared" si="84"/>
        <v>10184</v>
      </c>
      <c r="ET296" s="1044">
        <f t="shared" si="93"/>
        <v>228</v>
      </c>
      <c r="EU296" s="1044">
        <f t="shared" si="85"/>
        <v>0</v>
      </c>
      <c r="EV296" s="1046">
        <f t="shared" si="86"/>
        <v>228</v>
      </c>
    </row>
    <row r="297" spans="1:152" x14ac:dyDescent="0.25">
      <c r="EA297" s="1043">
        <f t="shared" si="75"/>
        <v>2047</v>
      </c>
      <c r="EB297" s="1048">
        <f>'[2]Úspora času'!CX27</f>
        <v>4</v>
      </c>
      <c r="EC297" s="1048">
        <f>'[2]Úspora času'!CY27</f>
        <v>150</v>
      </c>
      <c r="ED297" s="1048">
        <f>'[2]Úspora času'!DP27</f>
        <v>4</v>
      </c>
      <c r="EE297" s="1049">
        <f t="shared" si="87"/>
        <v>31730</v>
      </c>
      <c r="EF297" s="1044">
        <f t="shared" si="76"/>
        <v>6215.6027397260277</v>
      </c>
      <c r="EG297" s="1045">
        <f t="shared" si="77"/>
        <v>25514.397260273974</v>
      </c>
      <c r="EH297" s="1044">
        <f t="shared" si="88"/>
        <v>7948</v>
      </c>
      <c r="EI297" s="1044">
        <f t="shared" si="78"/>
        <v>87.101369863013701</v>
      </c>
      <c r="EJ297" s="1045">
        <f t="shared" si="79"/>
        <v>7860.898630136986</v>
      </c>
      <c r="EK297" s="1044">
        <f t="shared" si="89"/>
        <v>228</v>
      </c>
      <c r="EL297" s="1044">
        <f t="shared" si="80"/>
        <v>44.663013698630131</v>
      </c>
      <c r="EM297" s="1045">
        <f t="shared" si="81"/>
        <v>183.33698630136988</v>
      </c>
      <c r="EN297" s="1044">
        <f t="shared" si="90"/>
        <v>6944</v>
      </c>
      <c r="EO297" s="1044">
        <f t="shared" si="82"/>
        <v>76.098630136986301</v>
      </c>
      <c r="EP297" s="1045">
        <f t="shared" si="83"/>
        <v>6867.9013698630133</v>
      </c>
      <c r="EQ297" s="1044">
        <f t="shared" si="91"/>
        <v>10184</v>
      </c>
      <c r="ER297" s="1044">
        <f t="shared" si="92"/>
        <v>111.60547945205479</v>
      </c>
      <c r="ES297" s="1045">
        <f t="shared" si="84"/>
        <v>10072.394520547945</v>
      </c>
      <c r="ET297" s="1044">
        <f t="shared" si="93"/>
        <v>228</v>
      </c>
      <c r="EU297" s="1044">
        <f t="shared" si="85"/>
        <v>2.4986301369863013</v>
      </c>
      <c r="EV297" s="1045">
        <f t="shared" si="86"/>
        <v>225.50136986301371</v>
      </c>
    </row>
    <row r="298" spans="1:152" x14ac:dyDescent="0.25">
      <c r="EA298" s="1043">
        <f t="shared" si="75"/>
        <v>2048</v>
      </c>
      <c r="EB298" s="1048">
        <f>'[2]Úspora času'!CX28</f>
        <v>0</v>
      </c>
      <c r="EC298" s="1048">
        <f>'[2]Úspora času'!CY28</f>
        <v>0</v>
      </c>
      <c r="ED298" s="1048">
        <f>'[2]Úspora času'!DP28</f>
        <v>0</v>
      </c>
      <c r="EE298" s="1049">
        <f t="shared" si="87"/>
        <v>31730</v>
      </c>
      <c r="EF298" s="1044">
        <f t="shared" si="76"/>
        <v>0</v>
      </c>
      <c r="EG298" s="1046">
        <f t="shared" si="77"/>
        <v>31730</v>
      </c>
      <c r="EH298" s="1044">
        <f t="shared" si="88"/>
        <v>7948</v>
      </c>
      <c r="EI298" s="1044">
        <f t="shared" si="78"/>
        <v>0</v>
      </c>
      <c r="EJ298" s="1046">
        <f t="shared" si="79"/>
        <v>7948</v>
      </c>
      <c r="EK298" s="1044">
        <f t="shared" si="89"/>
        <v>228</v>
      </c>
      <c r="EL298" s="1044">
        <f t="shared" si="80"/>
        <v>0</v>
      </c>
      <c r="EM298" s="1046">
        <f t="shared" si="81"/>
        <v>228</v>
      </c>
      <c r="EN298" s="1044">
        <f t="shared" si="90"/>
        <v>6944</v>
      </c>
      <c r="EO298" s="1044">
        <f t="shared" si="82"/>
        <v>0</v>
      </c>
      <c r="EP298" s="1046">
        <f t="shared" si="83"/>
        <v>6944</v>
      </c>
      <c r="EQ298" s="1044">
        <f t="shared" si="91"/>
        <v>10184</v>
      </c>
      <c r="ER298" s="1044">
        <f t="shared" si="92"/>
        <v>0</v>
      </c>
      <c r="ES298" s="1046">
        <f t="shared" si="84"/>
        <v>10184</v>
      </c>
      <c r="ET298" s="1044">
        <f t="shared" si="93"/>
        <v>228</v>
      </c>
      <c r="EU298" s="1044">
        <f t="shared" si="85"/>
        <v>0</v>
      </c>
      <c r="EV298" s="1046">
        <f t="shared" si="86"/>
        <v>228</v>
      </c>
    </row>
    <row r="299" spans="1:152" x14ac:dyDescent="0.25">
      <c r="EA299" s="1043">
        <f t="shared" si="75"/>
        <v>2049</v>
      </c>
      <c r="EB299" s="1048">
        <f>'[2]Úspora času'!CX29</f>
        <v>0</v>
      </c>
      <c r="EC299" s="1048">
        <f>'[2]Úspora času'!CY29</f>
        <v>0</v>
      </c>
      <c r="ED299" s="1048">
        <f>'[2]Úspora času'!DP29</f>
        <v>0</v>
      </c>
      <c r="EE299" s="1049">
        <f t="shared" si="87"/>
        <v>31730</v>
      </c>
      <c r="EF299" s="1044">
        <f t="shared" si="76"/>
        <v>0</v>
      </c>
      <c r="EG299" s="1046">
        <f t="shared" si="77"/>
        <v>31730</v>
      </c>
      <c r="EH299" s="1044">
        <f t="shared" si="88"/>
        <v>7948</v>
      </c>
      <c r="EI299" s="1044">
        <f t="shared" si="78"/>
        <v>0</v>
      </c>
      <c r="EJ299" s="1046">
        <f t="shared" si="79"/>
        <v>7948</v>
      </c>
      <c r="EK299" s="1044">
        <f t="shared" si="89"/>
        <v>228</v>
      </c>
      <c r="EL299" s="1044">
        <f t="shared" si="80"/>
        <v>0</v>
      </c>
      <c r="EM299" s="1046">
        <f t="shared" si="81"/>
        <v>228</v>
      </c>
      <c r="EN299" s="1044">
        <f t="shared" si="90"/>
        <v>6944</v>
      </c>
      <c r="EO299" s="1044">
        <f t="shared" si="82"/>
        <v>0</v>
      </c>
      <c r="EP299" s="1046">
        <f t="shared" si="83"/>
        <v>6944</v>
      </c>
      <c r="EQ299" s="1044">
        <f t="shared" si="91"/>
        <v>10184</v>
      </c>
      <c r="ER299" s="1044">
        <f t="shared" si="92"/>
        <v>0</v>
      </c>
      <c r="ES299" s="1046">
        <f t="shared" si="84"/>
        <v>10184</v>
      </c>
      <c r="ET299" s="1044">
        <f t="shared" si="93"/>
        <v>228</v>
      </c>
      <c r="EU299" s="1044">
        <f t="shared" si="85"/>
        <v>0</v>
      </c>
      <c r="EV299" s="1046">
        <f t="shared" si="86"/>
        <v>228</v>
      </c>
    </row>
    <row r="300" spans="1:152" x14ac:dyDescent="0.25">
      <c r="EA300" s="1043">
        <f t="shared" si="75"/>
        <v>2050</v>
      </c>
      <c r="EB300" s="1043">
        <f>'[2]Úspora času'!CX30</f>
        <v>0</v>
      </c>
      <c r="EC300" s="1048">
        <f>'[2]Úspora času'!CY30</f>
        <v>0</v>
      </c>
      <c r="ED300" s="1048">
        <f>'[2]Úspora času'!DP30</f>
        <v>0</v>
      </c>
      <c r="EE300" s="1049">
        <f t="shared" si="87"/>
        <v>31730</v>
      </c>
      <c r="EF300" s="1044">
        <f t="shared" si="76"/>
        <v>0</v>
      </c>
      <c r="EG300" s="1046">
        <f t="shared" si="77"/>
        <v>31730</v>
      </c>
      <c r="EH300" s="1044">
        <f t="shared" si="88"/>
        <v>7948</v>
      </c>
      <c r="EI300" s="1044">
        <f t="shared" si="78"/>
        <v>0</v>
      </c>
      <c r="EJ300" s="1046">
        <f t="shared" si="79"/>
        <v>7948</v>
      </c>
      <c r="EK300" s="1044">
        <f t="shared" si="89"/>
        <v>228</v>
      </c>
      <c r="EL300" s="1044">
        <f t="shared" si="80"/>
        <v>0</v>
      </c>
      <c r="EM300" s="1046">
        <f t="shared" si="81"/>
        <v>228</v>
      </c>
      <c r="EN300" s="1044">
        <f t="shared" si="90"/>
        <v>6944</v>
      </c>
      <c r="EO300" s="1044">
        <f t="shared" si="82"/>
        <v>0</v>
      </c>
      <c r="EP300" s="1046">
        <f t="shared" si="83"/>
        <v>6944</v>
      </c>
      <c r="EQ300" s="1044">
        <f t="shared" si="91"/>
        <v>10184</v>
      </c>
      <c r="ER300" s="1044">
        <f t="shared" si="92"/>
        <v>0</v>
      </c>
      <c r="ES300" s="1046">
        <f t="shared" si="84"/>
        <v>10184</v>
      </c>
      <c r="ET300" s="1044">
        <f t="shared" si="93"/>
        <v>228</v>
      </c>
      <c r="EU300" s="1044">
        <f t="shared" si="85"/>
        <v>0</v>
      </c>
      <c r="EV300" s="1046">
        <f t="shared" si="86"/>
        <v>228</v>
      </c>
    </row>
    <row r="301" spans="1:152" x14ac:dyDescent="0.25">
      <c r="EA301" s="1043">
        <f t="shared" si="75"/>
        <v>2051</v>
      </c>
      <c r="EB301" s="1048">
        <f>'[2]Úspora času'!CX31</f>
        <v>0</v>
      </c>
      <c r="EC301" s="1048">
        <f>'[2]Úspora času'!CY31</f>
        <v>0</v>
      </c>
      <c r="ED301" s="1048">
        <f>'[2]Úspora času'!DP31</f>
        <v>0</v>
      </c>
      <c r="EE301" s="1049">
        <f t="shared" si="87"/>
        <v>31730</v>
      </c>
      <c r="EF301" s="1044">
        <f t="shared" si="76"/>
        <v>0</v>
      </c>
      <c r="EG301" s="1046">
        <f t="shared" si="77"/>
        <v>31730</v>
      </c>
      <c r="EH301" s="1044">
        <f t="shared" si="88"/>
        <v>7948</v>
      </c>
      <c r="EI301" s="1044">
        <f t="shared" si="78"/>
        <v>0</v>
      </c>
      <c r="EJ301" s="1046">
        <f t="shared" si="79"/>
        <v>7948</v>
      </c>
      <c r="EK301" s="1044">
        <f t="shared" si="89"/>
        <v>228</v>
      </c>
      <c r="EL301" s="1044">
        <f t="shared" si="80"/>
        <v>0</v>
      </c>
      <c r="EM301" s="1046">
        <f t="shared" si="81"/>
        <v>228</v>
      </c>
      <c r="EN301" s="1044">
        <f t="shared" si="90"/>
        <v>6944</v>
      </c>
      <c r="EO301" s="1044">
        <f t="shared" si="82"/>
        <v>0</v>
      </c>
      <c r="EP301" s="1046">
        <f t="shared" si="83"/>
        <v>6944</v>
      </c>
      <c r="EQ301" s="1044">
        <f t="shared" si="91"/>
        <v>10184</v>
      </c>
      <c r="ER301" s="1044">
        <f t="shared" si="92"/>
        <v>0</v>
      </c>
      <c r="ES301" s="1046">
        <f t="shared" si="84"/>
        <v>10184</v>
      </c>
      <c r="ET301" s="1044">
        <f t="shared" si="93"/>
        <v>228</v>
      </c>
      <c r="EU301" s="1044">
        <f t="shared" si="85"/>
        <v>0</v>
      </c>
      <c r="EV301" s="1046">
        <f t="shared" si="86"/>
        <v>228</v>
      </c>
    </row>
    <row r="302" spans="1:152" x14ac:dyDescent="0.25">
      <c r="EA302" s="1043">
        <f t="shared" si="75"/>
        <v>2052</v>
      </c>
      <c r="EB302" s="1043">
        <f>'[2]Úspora času'!CX32</f>
        <v>0</v>
      </c>
      <c r="EC302" s="1048">
        <f>'[2]Úspora času'!CY32</f>
        <v>0</v>
      </c>
      <c r="ED302" s="1048">
        <f>'[2]Úspora času'!DP32</f>
        <v>0</v>
      </c>
      <c r="EE302" s="1049">
        <f t="shared" si="87"/>
        <v>31730</v>
      </c>
      <c r="EF302" s="1044">
        <f t="shared" si="76"/>
        <v>0</v>
      </c>
      <c r="EG302" s="1046">
        <f t="shared" si="77"/>
        <v>31730</v>
      </c>
      <c r="EH302" s="1044">
        <f t="shared" si="88"/>
        <v>7948</v>
      </c>
      <c r="EI302" s="1044">
        <f t="shared" si="78"/>
        <v>0</v>
      </c>
      <c r="EJ302" s="1046">
        <f t="shared" si="79"/>
        <v>7948</v>
      </c>
      <c r="EK302" s="1044">
        <f t="shared" si="89"/>
        <v>228</v>
      </c>
      <c r="EL302" s="1044">
        <f t="shared" si="80"/>
        <v>0</v>
      </c>
      <c r="EM302" s="1046">
        <f t="shared" si="81"/>
        <v>228</v>
      </c>
      <c r="EN302" s="1044">
        <f t="shared" si="90"/>
        <v>6944</v>
      </c>
      <c r="EO302" s="1044">
        <f t="shared" si="82"/>
        <v>0</v>
      </c>
      <c r="EP302" s="1046">
        <f t="shared" si="83"/>
        <v>6944</v>
      </c>
      <c r="EQ302" s="1044">
        <f t="shared" si="91"/>
        <v>10184</v>
      </c>
      <c r="ER302" s="1044">
        <f t="shared" si="92"/>
        <v>0</v>
      </c>
      <c r="ES302" s="1046">
        <f t="shared" si="84"/>
        <v>10184</v>
      </c>
      <c r="ET302" s="1044">
        <f t="shared" si="93"/>
        <v>228</v>
      </c>
      <c r="EU302" s="1044">
        <f t="shared" si="85"/>
        <v>0</v>
      </c>
      <c r="EV302" s="1046">
        <f t="shared" si="86"/>
        <v>228</v>
      </c>
    </row>
    <row r="303" spans="1:152" x14ac:dyDescent="0.25">
      <c r="EA303" s="1043">
        <f t="shared" si="75"/>
        <v>2053</v>
      </c>
      <c r="EB303" s="1048">
        <f>'[2]Úspora času'!CX33</f>
        <v>10</v>
      </c>
      <c r="EC303" s="1048">
        <f>'[2]Úspora času'!CY33</f>
        <v>348</v>
      </c>
      <c r="ED303" s="1048">
        <f>'[2]Úspora času'!DP33</f>
        <v>10</v>
      </c>
      <c r="EE303" s="1049">
        <f t="shared" si="87"/>
        <v>31730</v>
      </c>
      <c r="EF303" s="1044">
        <f t="shared" si="76"/>
        <v>14482.78904109589</v>
      </c>
      <c r="EG303" s="1045">
        <f t="shared" si="77"/>
        <v>17247.21095890411</v>
      </c>
      <c r="EH303" s="1044">
        <f t="shared" si="88"/>
        <v>7948</v>
      </c>
      <c r="EI303" s="1044">
        <f t="shared" si="78"/>
        <v>217.75342465753425</v>
      </c>
      <c r="EJ303" s="1045">
        <f t="shared" si="79"/>
        <v>7730.2465753424658</v>
      </c>
      <c r="EK303" s="1044">
        <f t="shared" si="89"/>
        <v>228</v>
      </c>
      <c r="EL303" s="1044">
        <f t="shared" si="80"/>
        <v>104.06794520547945</v>
      </c>
      <c r="EM303" s="1045">
        <f t="shared" si="81"/>
        <v>123.93205479452055</v>
      </c>
      <c r="EN303" s="1044">
        <f t="shared" si="90"/>
        <v>6944</v>
      </c>
      <c r="EO303" s="1044">
        <f t="shared" si="82"/>
        <v>190.24657534246575</v>
      </c>
      <c r="EP303" s="1045">
        <f t="shared" si="83"/>
        <v>6753.7534246575342</v>
      </c>
      <c r="EQ303" s="1044">
        <f t="shared" si="91"/>
        <v>10184</v>
      </c>
      <c r="ER303" s="1044">
        <f t="shared" si="92"/>
        <v>279.01369863013701</v>
      </c>
      <c r="ES303" s="1045">
        <f t="shared" si="84"/>
        <v>9904.9863013698632</v>
      </c>
      <c r="ET303" s="1044">
        <f t="shared" si="93"/>
        <v>228</v>
      </c>
      <c r="EU303" s="1044">
        <f t="shared" si="85"/>
        <v>6.2465753424657535</v>
      </c>
      <c r="EV303" s="1045">
        <f t="shared" si="86"/>
        <v>221.75342465753425</v>
      </c>
    </row>
    <row r="304" spans="1:152" x14ac:dyDescent="0.25">
      <c r="EA304" s="1043">
        <f t="shared" si="75"/>
        <v>2054</v>
      </c>
      <c r="EB304" s="1048">
        <f>'[2]Úspora času'!CX34</f>
        <v>0</v>
      </c>
      <c r="EC304" s="1048">
        <f>'[2]Úspora času'!CY34</f>
        <v>0</v>
      </c>
      <c r="ED304" s="1048">
        <f>'[2]Úspora času'!DP34</f>
        <v>0</v>
      </c>
      <c r="EE304" s="1049">
        <f t="shared" si="87"/>
        <v>31730</v>
      </c>
      <c r="EF304" s="1044">
        <f t="shared" si="76"/>
        <v>0</v>
      </c>
      <c r="EG304" s="1046">
        <f t="shared" si="77"/>
        <v>31730</v>
      </c>
      <c r="EH304" s="1044">
        <f t="shared" si="88"/>
        <v>7948</v>
      </c>
      <c r="EI304" s="1044">
        <f t="shared" si="78"/>
        <v>0</v>
      </c>
      <c r="EJ304" s="1046">
        <f t="shared" si="79"/>
        <v>7948</v>
      </c>
      <c r="EK304" s="1044">
        <f t="shared" si="89"/>
        <v>228</v>
      </c>
      <c r="EL304" s="1044">
        <f t="shared" si="80"/>
        <v>0</v>
      </c>
      <c r="EM304" s="1046">
        <f t="shared" si="81"/>
        <v>228</v>
      </c>
      <c r="EN304" s="1044">
        <f t="shared" si="90"/>
        <v>6944</v>
      </c>
      <c r="EO304" s="1044">
        <f t="shared" si="82"/>
        <v>0</v>
      </c>
      <c r="EP304" s="1046">
        <f t="shared" si="83"/>
        <v>6944</v>
      </c>
      <c r="EQ304" s="1044">
        <f t="shared" si="91"/>
        <v>10184</v>
      </c>
      <c r="ER304" s="1044">
        <f t="shared" si="92"/>
        <v>0</v>
      </c>
      <c r="ES304" s="1046">
        <f t="shared" si="84"/>
        <v>10184</v>
      </c>
      <c r="ET304" s="1044">
        <f t="shared" si="93"/>
        <v>228</v>
      </c>
      <c r="EU304" s="1044">
        <f t="shared" si="85"/>
        <v>0</v>
      </c>
      <c r="EV304" s="1046">
        <f t="shared" si="86"/>
        <v>228</v>
      </c>
    </row>
    <row r="305" spans="1:171" ht="39.6" x14ac:dyDescent="0.25">
      <c r="EB305" s="12" t="s">
        <v>929</v>
      </c>
      <c r="EC305" s="12" t="s">
        <v>930</v>
      </c>
      <c r="EX305" s="752" t="s">
        <v>612</v>
      </c>
      <c r="EY305" s="753">
        <v>2025</v>
      </c>
      <c r="EZ305" s="753">
        <f>EY305+1</f>
        <v>2026</v>
      </c>
      <c r="FA305" s="753">
        <f t="shared" ref="FA305:FM305" si="94">EZ305+1</f>
        <v>2027</v>
      </c>
      <c r="FB305" s="753">
        <f t="shared" si="94"/>
        <v>2028</v>
      </c>
      <c r="FC305" s="753">
        <f t="shared" si="94"/>
        <v>2029</v>
      </c>
      <c r="FD305" s="753">
        <f t="shared" si="94"/>
        <v>2030</v>
      </c>
      <c r="FE305" s="753">
        <f t="shared" si="94"/>
        <v>2031</v>
      </c>
      <c r="FF305" s="753">
        <f t="shared" si="94"/>
        <v>2032</v>
      </c>
      <c r="FG305" s="753">
        <f t="shared" si="94"/>
        <v>2033</v>
      </c>
      <c r="FH305" s="753">
        <f t="shared" si="94"/>
        <v>2034</v>
      </c>
      <c r="FI305" s="753">
        <f t="shared" si="94"/>
        <v>2035</v>
      </c>
      <c r="FJ305" s="753">
        <f t="shared" si="94"/>
        <v>2036</v>
      </c>
      <c r="FK305" s="753">
        <f t="shared" si="94"/>
        <v>2037</v>
      </c>
      <c r="FL305" s="753">
        <f t="shared" si="94"/>
        <v>2038</v>
      </c>
      <c r="FM305" s="753">
        <f t="shared" si="94"/>
        <v>2039</v>
      </c>
    </row>
    <row r="306" spans="1:171" x14ac:dyDescent="0.25">
      <c r="EX306" s="733" t="s">
        <v>611</v>
      </c>
      <c r="EY306" s="747">
        <f>'[7]6 Externality'!E83-'[7]6 Externality'!E14</f>
        <v>0</v>
      </c>
      <c r="EZ306" s="747">
        <f>'[7]6 Externality'!F83-'[7]6 Externality'!F14</f>
        <v>-1764181.9302419163</v>
      </c>
      <c r="FA306" s="747">
        <f>'[7]6 Externality'!G83-'[7]6 Externality'!G14</f>
        <v>478061.3484389059</v>
      </c>
      <c r="FB306" s="747">
        <f>'[7]6 Externality'!H83-'[7]6 Externality'!H14</f>
        <v>30253.645776724909</v>
      </c>
      <c r="FC306" s="747">
        <f>'[7]6 Externality'!I83-'[7]6 Externality'!I14</f>
        <v>213867.81870964842</v>
      </c>
      <c r="FD306" s="747">
        <f>'[7]6 Externality'!J83-'[7]6 Externality'!J14</f>
        <v>3197557.1014708728</v>
      </c>
      <c r="FE306" s="747">
        <f>'[7]6 Externality'!K83-'[7]6 Externality'!K14</f>
        <v>0</v>
      </c>
      <c r="FF306" s="747">
        <f>'[7]6 Externality'!L83-'[7]6 Externality'!L14</f>
        <v>0</v>
      </c>
      <c r="FG306" s="747">
        <f>'[7]6 Externality'!M83-'[7]6 Externality'!M14</f>
        <v>1816012.7039060679</v>
      </c>
      <c r="FH306" s="747">
        <f>'[7]6 Externality'!N83-'[7]6 Externality'!N14</f>
        <v>-1797907.6018409161</v>
      </c>
      <c r="FI306" s="747">
        <f>'[7]6 Externality'!O83-'[7]6 Externality'!O14</f>
        <v>1960926.5755264051</v>
      </c>
      <c r="FJ306" s="747">
        <f>'[7]6 Externality'!P83-'[7]6 Externality'!P14</f>
        <v>78323.93600167855</v>
      </c>
      <c r="FK306" s="747">
        <f>'[7]6 Externality'!Q83-'[7]6 Externality'!Q14</f>
        <v>75089.920863418098</v>
      </c>
      <c r="FL306" s="747">
        <f>'[7]6 Externality'!R83-'[7]6 Externality'!R14</f>
        <v>0</v>
      </c>
      <c r="FM306" s="747">
        <f>'[7]6 Externality'!S83-'[7]6 Externality'!S14</f>
        <v>403067.76715720195</v>
      </c>
    </row>
    <row r="307" spans="1:171" x14ac:dyDescent="0.25">
      <c r="EX307" s="733" t="s">
        <v>609</v>
      </c>
      <c r="EY307" s="747">
        <f>'[7]6 Externality'!E75-'[7]6 Externality'!E6</f>
        <v>0</v>
      </c>
      <c r="EZ307" s="747">
        <f>'[7]6 Externality'!F75-'[7]6 Externality'!F6</f>
        <v>294215.40568128601</v>
      </c>
      <c r="FA307" s="747">
        <f>'[7]6 Externality'!G75-'[7]6 Externality'!G6</f>
        <v>-5457.6468422287144</v>
      </c>
      <c r="FB307" s="747">
        <f>'[7]6 Externality'!H75-'[7]6 Externality'!H6</f>
        <v>-7927.8168692237232</v>
      </c>
      <c r="FC307" s="747">
        <f>'[7]6 Externality'!I75-'[7]6 Externality'!I6</f>
        <v>-14773.874027071521</v>
      </c>
      <c r="FD307" s="747">
        <f>'[7]6 Externality'!J75-'[7]6 Externality'!J6</f>
        <v>-22141.787450888194</v>
      </c>
      <c r="FE307" s="747">
        <f>'[7]6 Externality'!K75-'[7]6 Externality'!K6</f>
        <v>0</v>
      </c>
      <c r="FF307" s="747">
        <f>'[7]6 Externality'!L75-'[7]6 Externality'!L6</f>
        <v>0</v>
      </c>
      <c r="FG307" s="747">
        <f>'[7]6 Externality'!M75-'[7]6 Externality'!M6</f>
        <v>-11918.565030235332</v>
      </c>
      <c r="FH307" s="747">
        <f>'[7]6 Externality'!N75-'[7]6 Externality'!N6</f>
        <v>11481.523123679101</v>
      </c>
      <c r="FI307" s="747">
        <f>'[7]6 Externality'!O75-'[7]6 Externality'!O6</f>
        <v>-20294.153942198842</v>
      </c>
      <c r="FJ307" s="747">
        <f>'[7]6 Externality'!P75-'[7]6 Externality'!P6</f>
        <v>-11267.472395089339</v>
      </c>
      <c r="FK307" s="747">
        <f>'[7]6 Externality'!Q75-'[7]6 Externality'!Q6</f>
        <v>-857.24200632760767</v>
      </c>
      <c r="FL307" s="747">
        <f>'[7]6 Externality'!R75-'[7]6 Externality'!R6</f>
        <v>0</v>
      </c>
      <c r="FM307" s="747">
        <f>'[7]6 Externality'!S75-'[7]6 Externality'!S6</f>
        <v>-3011.5210080945399</v>
      </c>
    </row>
    <row r="308" spans="1:171" x14ac:dyDescent="0.25">
      <c r="EX308" s="733" t="s">
        <v>610</v>
      </c>
      <c r="EY308" s="747">
        <f>'[7]6 Externality'!E79-'[7]6 Externality'!E10</f>
        <v>0</v>
      </c>
      <c r="EZ308" s="747">
        <f>'[7]6 Externality'!F79-'[7]6 Externality'!F10</f>
        <v>0</v>
      </c>
      <c r="FA308" s="747">
        <f>'[7]6 Externality'!G79-'[7]6 Externality'!G10</f>
        <v>98242.430469861749</v>
      </c>
      <c r="FB308" s="747">
        <f>'[7]6 Externality'!H79-'[7]6 Externality'!H10</f>
        <v>99865.39542122389</v>
      </c>
      <c r="FC308" s="747">
        <f>'[7]6 Externality'!I79-'[7]6 Externality'!I10</f>
        <v>101515.17175358249</v>
      </c>
      <c r="FD308" s="747">
        <f>'[7]6 Externality'!J79-'[7]6 Externality'!J10</f>
        <v>103192.20239095169</v>
      </c>
      <c r="FE308" s="747">
        <f>'[7]6 Externality'!K79-'[7]6 Externality'!K10</f>
        <v>96827.942376415536</v>
      </c>
      <c r="FF308" s="747">
        <f>'[7]6 Externality'!L79-'[7]6 Externality'!L10</f>
        <v>90225.244985767815</v>
      </c>
      <c r="FG308" s="747">
        <f>'[7]6 Externality'!M79-'[7]6 Externality'!M10</f>
        <v>91715.766032932763</v>
      </c>
      <c r="FH308" s="747">
        <f>'[7]6 Externality'!N79-'[7]6 Externality'!N10</f>
        <v>84755.373170724313</v>
      </c>
      <c r="FI308" s="747">
        <f>'[7]6 Externality'!O79-'[7]6 Externality'!O10</f>
        <v>86155.531935504667</v>
      </c>
      <c r="FJ308" s="747">
        <f>'[7]6 Externality'!P79-'[7]6 Externality'!P10</f>
        <v>87578.821323079232</v>
      </c>
      <c r="FK308" s="747">
        <f>'[7]6 Externality'!Q79-'[7]6 Externality'!Q10</f>
        <v>89025.623451336491</v>
      </c>
      <c r="FL308" s="747">
        <f>'[7]6 Externality'!R79-'[7]6 Externality'!R10</f>
        <v>99545.959425827808</v>
      </c>
      <c r="FM308" s="747">
        <f>'[7]6 Externality'!S79-'[7]6 Externality'!S10</f>
        <v>101190.45867554256</v>
      </c>
    </row>
    <row r="309" spans="1:171" x14ac:dyDescent="0.25">
      <c r="EX309" s="754" t="s">
        <v>569</v>
      </c>
      <c r="EY309" s="755">
        <f>'[7]12 Ekonomická analýza (ERR)'!F13</f>
        <v>0</v>
      </c>
      <c r="EZ309" s="755">
        <f>'[7]12 Ekonomická analýza (ERR)'!G13</f>
        <v>-1469966.5245606303</v>
      </c>
      <c r="FA309" s="755">
        <f>'[7]12 Ekonomická analýza (ERR)'!H13</f>
        <v>570846.13206653891</v>
      </c>
      <c r="FB309" s="755">
        <f>'[7]12 Ekonomická analýza (ERR)'!I13</f>
        <v>122191.22432872507</v>
      </c>
      <c r="FC309" s="755">
        <f>'[7]12 Ekonomická analýza (ERR)'!J13</f>
        <v>300609.11643615941</v>
      </c>
      <c r="FD309" s="755">
        <f>'[7]12 Ekonomická analýza (ERR)'!K13</f>
        <v>3278607.5164109361</v>
      </c>
      <c r="FE309" s="755">
        <f>'[7]12 Ekonomická analýza (ERR)'!L13</f>
        <v>96827.942376415536</v>
      </c>
      <c r="FF309" s="755">
        <f>'[7]12 Ekonomická analýza (ERR)'!M13</f>
        <v>90225.244985767815</v>
      </c>
      <c r="FG309" s="755">
        <f>'[7]12 Ekonomická analýza (ERR)'!N13</f>
        <v>1895809.9049087653</v>
      </c>
      <c r="FH309" s="755">
        <f>'[7]12 Ekonomická analýza (ERR)'!O13</f>
        <v>-1701670.7055465125</v>
      </c>
      <c r="FI309" s="755">
        <f>'[7]12 Ekonomická analýza (ERR)'!P13</f>
        <v>2026787.9535197113</v>
      </c>
      <c r="FJ309" s="755">
        <f>'[7]12 Ekonomická analýza (ERR)'!Q13</f>
        <v>154635.28492966847</v>
      </c>
      <c r="FK309" s="755">
        <f>'[7]12 Ekonomická analýza (ERR)'!R13</f>
        <v>163258.30230842702</v>
      </c>
      <c r="FL309" s="755">
        <f>'[7]12 Ekonomická analýza (ERR)'!S13</f>
        <v>99545.959425827808</v>
      </c>
      <c r="FM309" s="755">
        <f>'[7]12 Ekonomická analýza (ERR)'!T13</f>
        <v>501246.7048246499</v>
      </c>
    </row>
    <row r="310" spans="1:171" x14ac:dyDescent="0.25">
      <c r="A310" s="735"/>
      <c r="B310" s="735"/>
      <c r="C310" s="735"/>
      <c r="D310" s="735"/>
      <c r="E310" s="735"/>
      <c r="F310" s="735"/>
      <c r="G310" s="735"/>
      <c r="H310" s="735"/>
      <c r="I310" s="735"/>
      <c r="EX310" s="750"/>
      <c r="EY310" s="751">
        <f>SUM(EY306:EY308)</f>
        <v>0</v>
      </c>
      <c r="EZ310" s="751">
        <f t="shared" ref="EZ310:FM310" si="95">SUM(EZ306:EZ308)</f>
        <v>-1469966.5245606303</v>
      </c>
      <c r="FA310" s="751">
        <f t="shared" si="95"/>
        <v>570846.13206653891</v>
      </c>
      <c r="FB310" s="751">
        <f t="shared" si="95"/>
        <v>122191.22432872507</v>
      </c>
      <c r="FC310" s="751">
        <f t="shared" si="95"/>
        <v>300609.11643615935</v>
      </c>
      <c r="FD310" s="751">
        <f t="shared" si="95"/>
        <v>3278607.5164109361</v>
      </c>
      <c r="FE310" s="751">
        <f t="shared" si="95"/>
        <v>96827.942376415536</v>
      </c>
      <c r="FF310" s="751">
        <f t="shared" si="95"/>
        <v>90225.244985767815</v>
      </c>
      <c r="FG310" s="751">
        <f t="shared" si="95"/>
        <v>1895809.9049087653</v>
      </c>
      <c r="FH310" s="751">
        <f t="shared" si="95"/>
        <v>-1701670.7055465125</v>
      </c>
      <c r="FI310" s="751">
        <f t="shared" si="95"/>
        <v>2026787.9535197108</v>
      </c>
      <c r="FJ310" s="751">
        <f t="shared" si="95"/>
        <v>154635.28492966844</v>
      </c>
      <c r="FK310" s="751">
        <f t="shared" si="95"/>
        <v>163258.302308427</v>
      </c>
      <c r="FL310" s="751">
        <f t="shared" si="95"/>
        <v>99545.959425827808</v>
      </c>
      <c r="FM310" s="751">
        <f t="shared" si="95"/>
        <v>501246.70482464996</v>
      </c>
    </row>
    <row r="311" spans="1:171" x14ac:dyDescent="0.25">
      <c r="EX311" s="746"/>
      <c r="EY311" s="735"/>
      <c r="EZ311" s="735"/>
      <c r="FA311" s="735"/>
      <c r="FB311" s="735"/>
      <c r="FC311" s="735"/>
      <c r="FD311" s="735"/>
      <c r="FE311" s="735"/>
      <c r="FF311" s="735"/>
      <c r="FG311" s="735"/>
      <c r="FH311" s="735"/>
      <c r="FI311" s="735"/>
      <c r="FJ311" s="735"/>
      <c r="FK311" s="735"/>
      <c r="FL311" s="735"/>
      <c r="FM311" s="735"/>
    </row>
    <row r="312" spans="1:171" x14ac:dyDescent="0.25">
      <c r="EX312" s="752" t="s">
        <v>612</v>
      </c>
      <c r="EY312" s="753">
        <f>FM305+1</f>
        <v>2040</v>
      </c>
      <c r="EZ312" s="753">
        <f>EY312+1</f>
        <v>2041</v>
      </c>
      <c r="FA312" s="753">
        <f t="shared" ref="FA312:FM312" si="96">EZ312+1</f>
        <v>2042</v>
      </c>
      <c r="FB312" s="753">
        <f t="shared" si="96"/>
        <v>2043</v>
      </c>
      <c r="FC312" s="753">
        <f t="shared" si="96"/>
        <v>2044</v>
      </c>
      <c r="FD312" s="753">
        <f t="shared" si="96"/>
        <v>2045</v>
      </c>
      <c r="FE312" s="753">
        <f t="shared" si="96"/>
        <v>2046</v>
      </c>
      <c r="FF312" s="753">
        <f t="shared" si="96"/>
        <v>2047</v>
      </c>
      <c r="FG312" s="753">
        <f t="shared" si="96"/>
        <v>2048</v>
      </c>
      <c r="FH312" s="753">
        <f t="shared" si="96"/>
        <v>2049</v>
      </c>
      <c r="FI312" s="753">
        <f t="shared" si="96"/>
        <v>2050</v>
      </c>
      <c r="FJ312" s="753">
        <f t="shared" si="96"/>
        <v>2051</v>
      </c>
      <c r="FK312" s="753">
        <f t="shared" si="96"/>
        <v>2052</v>
      </c>
      <c r="FL312" s="753">
        <f t="shared" si="96"/>
        <v>2053</v>
      </c>
      <c r="FM312" s="753">
        <f t="shared" si="96"/>
        <v>2054</v>
      </c>
      <c r="FN312" s="748" t="s">
        <v>569</v>
      </c>
    </row>
    <row r="313" spans="1:171" x14ac:dyDescent="0.25">
      <c r="EX313" s="733" t="s">
        <v>611</v>
      </c>
      <c r="EY313" s="747">
        <f>'[7]6 Externality'!E117-'[7]6 Externality'!E48</f>
        <v>3091013.696137134</v>
      </c>
      <c r="EZ313" s="747">
        <f>'[7]6 Externality'!F117-'[7]6 Externality'!F48</f>
        <v>-3196484.8275721939</v>
      </c>
      <c r="FA313" s="747">
        <f>'[7]6 Externality'!G117-'[7]6 Externality'!G48</f>
        <v>-415099.593004575</v>
      </c>
      <c r="FB313" s="747">
        <f>'[7]6 Externality'!H117-'[7]6 Externality'!H48</f>
        <v>222493.59885848869</v>
      </c>
      <c r="FC313" s="747">
        <f>'[7]6 Externality'!I117-'[7]6 Externality'!I48</f>
        <v>78166.302842669829</v>
      </c>
      <c r="FD313" s="747">
        <f>'[7]6 Externality'!J117-'[7]6 Externality'!J48</f>
        <v>360308.71086209069</v>
      </c>
      <c r="FE313" s="747">
        <f>'[7]6 Externality'!K117-'[7]6 Externality'!K48</f>
        <v>385217.80150447733</v>
      </c>
      <c r="FF313" s="747">
        <f>'[7]6 Externality'!L117-'[7]6 Externality'!L48</f>
        <v>-222108.17691064347</v>
      </c>
      <c r="FG313" s="747">
        <f>'[7]6 Externality'!M117-'[7]6 Externality'!M48</f>
        <v>175815.81741068378</v>
      </c>
      <c r="FH313" s="747">
        <f>'[7]6 Externality'!N117-'[7]6 Externality'!N48</f>
        <v>13351.598858826183</v>
      </c>
      <c r="FI313" s="747">
        <f>'[7]6 Externality'!O117-'[7]6 Externality'!O48</f>
        <v>109003.65238979318</v>
      </c>
      <c r="FJ313" s="747">
        <f>'[7]6 Externality'!P117-'[7]6 Externality'!P48</f>
        <v>360240.37612454552</v>
      </c>
      <c r="FK313" s="747">
        <f>'[7]6 Externality'!Q117-'[7]6 Externality'!Q48</f>
        <v>156029.3162314879</v>
      </c>
      <c r="FL313" s="747">
        <f>'[7]6 Externality'!R117-'[7]6 Externality'!R48</f>
        <v>-1076274.8795432374</v>
      </c>
      <c r="FM313" s="747">
        <f>'[7]6 Externality'!S117-'[7]6 Externality'!S48</f>
        <v>0</v>
      </c>
      <c r="FN313" s="749">
        <f>SUM(EY306:FM306,EY313:FM313)</f>
        <v>4732744.6799576385</v>
      </c>
      <c r="FO313" s="749">
        <f>'[3]6 Externality'!$D$83-'[3]6 Externality'!$D$14</f>
        <v>23377219.001315713</v>
      </c>
    </row>
    <row r="314" spans="1:171" x14ac:dyDescent="0.25">
      <c r="EX314" s="733" t="s">
        <v>609</v>
      </c>
      <c r="EY314" s="747">
        <f>'[7]6 Externality'!E109-'[7]6 Externality'!E40</f>
        <v>-15317.547742485884</v>
      </c>
      <c r="EZ314" s="747">
        <f>'[7]6 Externality'!F109-'[7]6 Externality'!F40</f>
        <v>8608.3546857734909</v>
      </c>
      <c r="FA314" s="747">
        <f>'[7]6 Externality'!G109-'[7]6 Externality'!G40</f>
        <v>2309.3760725095635</v>
      </c>
      <c r="FB314" s="747">
        <f>'[7]6 Externality'!H109-'[7]6 Externality'!H40</f>
        <v>-17704.902794468217</v>
      </c>
      <c r="FC314" s="747">
        <f>'[7]6 Externality'!I109-'[7]6 Externality'!I40</f>
        <v>-3975.4413538917433</v>
      </c>
      <c r="FD314" s="747">
        <f>'[7]6 Externality'!J109-'[7]6 Externality'!J40</f>
        <v>-5875.3848350164481</v>
      </c>
      <c r="FE314" s="747">
        <f>'[7]6 Externality'!K109-'[7]6 Externality'!K40</f>
        <v>-5268.391804481158</v>
      </c>
      <c r="FF314" s="747">
        <f>'[7]6 Externality'!L109-'[7]6 Externality'!L40</f>
        <v>3513.314436298213</v>
      </c>
      <c r="FG314" s="747">
        <f>'[7]6 Externality'!M109-'[7]6 Externality'!M40</f>
        <v>-2007.1495924916817</v>
      </c>
      <c r="FH314" s="747">
        <f>'[7]6 Externality'!N109-'[7]6 Externality'!N40</f>
        <v>-3498.7198384382064</v>
      </c>
      <c r="FI314" s="747">
        <f>'[7]6 Externality'!O109-'[7]6 Externality'!O40</f>
        <v>-1244.4081522154156</v>
      </c>
      <c r="FJ314" s="747">
        <f>'[7]6 Externality'!P109-'[7]6 Externality'!P40</f>
        <v>-9060.2855275631882</v>
      </c>
      <c r="FK314" s="747">
        <f>'[7]6 Externality'!Q109-'[7]6 Externality'!Q40</f>
        <v>-1165.7731081397505</v>
      </c>
      <c r="FL314" s="747">
        <f>'[7]6 Externality'!R109-'[7]6 Externality'!R40</f>
        <v>18563.458764146897</v>
      </c>
      <c r="FM314" s="747">
        <f>'[7]6 Externality'!S109-'[7]6 Externality'!S40</f>
        <v>0</v>
      </c>
      <c r="FN314" s="749">
        <f>SUM(EY307:FM307,EY314:FM314)</f>
        <v>175923.34844314377</v>
      </c>
      <c r="FO314" s="749">
        <f>'[3]6 Externality'!$D$75-'[3]6 Externality'!$D$6</f>
        <v>246797.10181565583</v>
      </c>
    </row>
    <row r="315" spans="1:171" x14ac:dyDescent="0.25">
      <c r="EX315" s="733" t="s">
        <v>610</v>
      </c>
      <c r="EY315" s="747">
        <f>'[7]6 Externality'!E113-'[7]6 Externality'!E44</f>
        <v>80448.245212958805</v>
      </c>
      <c r="EZ315" s="747">
        <f>'[7]6 Externality'!F113-'[7]6 Externality'!F44</f>
        <v>89211.545698774746</v>
      </c>
      <c r="FA315" s="747">
        <f>'[7]6 Externality'!G113-'[7]6 Externality'!G44</f>
        <v>90685.320433718531</v>
      </c>
      <c r="FB315" s="747">
        <f>'[7]6 Externality'!H113-'[7]6 Externality'!H44</f>
        <v>99865.395421223773</v>
      </c>
      <c r="FC315" s="747">
        <f>'[7]6 Externality'!I113-'[7]6 Externality'!I44</f>
        <v>101515.17175358249</v>
      </c>
      <c r="FD315" s="747">
        <f>'[7]6 Externality'!J113-'[7]6 Externality'!J44</f>
        <v>103192.20239095174</v>
      </c>
      <c r="FE315" s="747">
        <f>'[7]6 Externality'!K113-'[7]6 Externality'!K44</f>
        <v>104896.93757445016</v>
      </c>
      <c r="FF315" s="747">
        <f>'[7]6 Externality'!L113-'[7]6 Externality'!L44</f>
        <v>114832.1299818863</v>
      </c>
      <c r="FG315" s="747">
        <f>'[7]6 Externality'!M113-'[7]6 Externality'!M44</f>
        <v>116729.15676918707</v>
      </c>
      <c r="FH315" s="747">
        <f>'[7]6 Externality'!N113-'[7]6 Externality'!N44</f>
        <v>127133.0597560865</v>
      </c>
      <c r="FI315" s="747">
        <f>'[7]6 Externality'!O113-'[7]6 Externality'!O44</f>
        <v>129233.29790325707</v>
      </c>
      <c r="FJ315" s="747">
        <f>'[7]6 Externality'!P113-'[7]6 Externality'!P44</f>
        <v>140126.11411692674</v>
      </c>
      <c r="FK315" s="747">
        <f>'[7]6 Externality'!Q113-'[7]6 Externality'!Q44</f>
        <v>142440.99752213841</v>
      </c>
      <c r="FL315" s="747">
        <f>'[7]6 Externality'!R113-'[7]6 Externality'!R44</f>
        <v>153843.75547627953</v>
      </c>
      <c r="FM315" s="747">
        <f>'[7]6 Externality'!S113-'[7]6 Externality'!S44</f>
        <v>147186.12170988001</v>
      </c>
      <c r="FN315" s="749">
        <f>SUM(EY308:FM308,EY315:FM315)</f>
        <v>2971175.3731340533</v>
      </c>
      <c r="FO315" s="749">
        <f>'[3]6 Externality'!$D$79-'[3]6 Externality'!$D$10</f>
        <v>4030690.7002313305</v>
      </c>
    </row>
    <row r="316" spans="1:171" x14ac:dyDescent="0.25">
      <c r="EX316" s="754" t="s">
        <v>569</v>
      </c>
      <c r="EY316" s="755">
        <f>'[7]12 Ekonomická analýza (ERR)'!F35</f>
        <v>3156144.3936076066</v>
      </c>
      <c r="EZ316" s="755">
        <f>'[7]12 Ekonomická analýza (ERR)'!G35</f>
        <v>-3098664.9271876458</v>
      </c>
      <c r="FA316" s="755">
        <f>'[7]12 Ekonomická analýza (ERR)'!H35</f>
        <v>-322104.89649834682</v>
      </c>
      <c r="FB316" s="755">
        <f>'[7]12 Ekonomická analýza (ERR)'!I35</f>
        <v>304654.09148524428</v>
      </c>
      <c r="FC316" s="755">
        <f>'[7]12 Ekonomická analýza (ERR)'!J35</f>
        <v>175706.03324236063</v>
      </c>
      <c r="FD316" s="755">
        <f>'[7]12 Ekonomická analýza (ERR)'!K35</f>
        <v>457625.52841802599</v>
      </c>
      <c r="FE316" s="755">
        <f>'[7]12 Ekonomická analýza (ERR)'!L35</f>
        <v>484846.34727444639</v>
      </c>
      <c r="FF316" s="755">
        <f>'[7]12 Ekonomická analýza (ERR)'!M35</f>
        <v>-103762.7324924593</v>
      </c>
      <c r="FG316" s="755">
        <f>'[7]12 Ekonomická analýza (ERR)'!N35</f>
        <v>290537.82458737923</v>
      </c>
      <c r="FH316" s="755">
        <f>'[7]12 Ekonomická analýza (ERR)'!O35</f>
        <v>136985.9387764745</v>
      </c>
      <c r="FI316" s="755">
        <f>'[7]12 Ekonomická analýza (ERR)'!P35</f>
        <v>236992.54214083485</v>
      </c>
      <c r="FJ316" s="755">
        <f>'[7]12 Ekonomická analýza (ERR)'!Q35</f>
        <v>491306.20471390901</v>
      </c>
      <c r="FK316" s="755">
        <f>'[7]12 Ekonomická analýza (ERR)'!R35</f>
        <v>297304.54064548656</v>
      </c>
      <c r="FL316" s="755">
        <f>'[7]12 Ekonomická analýza (ERR)'!S35</f>
        <v>-903867.66530281084</v>
      </c>
      <c r="FM316" s="755">
        <f>'[7]12 Ekonomická analýza (ERR)'!T35</f>
        <v>147186.12170988001</v>
      </c>
      <c r="FN316" s="749">
        <f>SUM(EY309:FM309,EY316:FM316)</f>
        <v>7879843.4015348358</v>
      </c>
      <c r="FO316" s="749">
        <f>'[3]12 Ekonomická analýza (ERR)'!$D$13</f>
        <v>27654706.80336272</v>
      </c>
    </row>
    <row r="317" spans="1:171" x14ac:dyDescent="0.25">
      <c r="EY317" s="751">
        <f>SUM(EY313:EY315)</f>
        <v>3156144.3936076066</v>
      </c>
      <c r="EZ317" s="751">
        <f t="shared" ref="EZ317:FM317" si="97">SUM(EZ313:EZ315)</f>
        <v>-3098664.9271876458</v>
      </c>
      <c r="FA317" s="751">
        <f t="shared" si="97"/>
        <v>-322104.89649834693</v>
      </c>
      <c r="FB317" s="751">
        <f t="shared" si="97"/>
        <v>304654.09148524422</v>
      </c>
      <c r="FC317" s="751">
        <f t="shared" si="97"/>
        <v>175706.03324236057</v>
      </c>
      <c r="FD317" s="751">
        <f t="shared" si="97"/>
        <v>457625.52841802599</v>
      </c>
      <c r="FE317" s="751">
        <f t="shared" si="97"/>
        <v>484846.34727444634</v>
      </c>
      <c r="FF317" s="751">
        <f t="shared" si="97"/>
        <v>-103762.73249245895</v>
      </c>
      <c r="FG317" s="751">
        <f t="shared" si="97"/>
        <v>290537.82458737917</v>
      </c>
      <c r="FH317" s="751">
        <f t="shared" si="97"/>
        <v>136985.93877647448</v>
      </c>
      <c r="FI317" s="751">
        <f t="shared" si="97"/>
        <v>236992.54214083485</v>
      </c>
      <c r="FJ317" s="751">
        <f t="shared" si="97"/>
        <v>491306.20471390907</v>
      </c>
      <c r="FK317" s="751">
        <f t="shared" si="97"/>
        <v>297304.54064548656</v>
      </c>
      <c r="FL317" s="751">
        <f t="shared" si="97"/>
        <v>-903867.66530281084</v>
      </c>
      <c r="FM317" s="751">
        <f t="shared" si="97"/>
        <v>147186.12170988001</v>
      </c>
    </row>
    <row r="319" spans="1:171" x14ac:dyDescent="0.25">
      <c r="EW319" s="756" t="s">
        <v>613</v>
      </c>
      <c r="EX319" s="752" t="str">
        <f>EX305</f>
        <v>úspory externalit</v>
      </c>
      <c r="EY319" s="753">
        <f>EY305</f>
        <v>2025</v>
      </c>
      <c r="EZ319" s="753">
        <f t="shared" ref="EZ319:FH319" si="98">EZ305</f>
        <v>2026</v>
      </c>
      <c r="FA319" s="753">
        <f t="shared" si="98"/>
        <v>2027</v>
      </c>
      <c r="FB319" s="753">
        <f t="shared" si="98"/>
        <v>2028</v>
      </c>
      <c r="FC319" s="753">
        <f t="shared" si="98"/>
        <v>2029</v>
      </c>
      <c r="FD319" s="753">
        <f t="shared" si="98"/>
        <v>2030</v>
      </c>
      <c r="FE319" s="753">
        <f t="shared" si="98"/>
        <v>2031</v>
      </c>
      <c r="FF319" s="753">
        <f t="shared" si="98"/>
        <v>2032</v>
      </c>
      <c r="FG319" s="753">
        <f t="shared" si="98"/>
        <v>2033</v>
      </c>
      <c r="FH319" s="753">
        <f t="shared" si="98"/>
        <v>2034</v>
      </c>
    </row>
    <row r="320" spans="1:171" x14ac:dyDescent="0.25">
      <c r="EX320" s="733" t="str">
        <f>EX306</f>
        <v>silniční osobní doprava (BUS)</v>
      </c>
      <c r="EY320" s="747">
        <f t="shared" ref="EY320:FH320" si="99">EY306</f>
        <v>0</v>
      </c>
      <c r="EZ320" s="747">
        <f t="shared" si="99"/>
        <v>-1764181.9302419163</v>
      </c>
      <c r="FA320" s="747">
        <f t="shared" si="99"/>
        <v>478061.3484389059</v>
      </c>
      <c r="FB320" s="747">
        <f t="shared" si="99"/>
        <v>30253.645776724909</v>
      </c>
      <c r="FC320" s="747">
        <f t="shared" si="99"/>
        <v>213867.81870964842</v>
      </c>
      <c r="FD320" s="747">
        <f t="shared" si="99"/>
        <v>3197557.1014708728</v>
      </c>
      <c r="FE320" s="747">
        <f t="shared" si="99"/>
        <v>0</v>
      </c>
      <c r="FF320" s="747">
        <f t="shared" si="99"/>
        <v>0</v>
      </c>
      <c r="FG320" s="747">
        <f t="shared" si="99"/>
        <v>1816012.7039060679</v>
      </c>
      <c r="FH320" s="747">
        <f t="shared" si="99"/>
        <v>-1797907.6018409161</v>
      </c>
    </row>
    <row r="321" spans="154:164" x14ac:dyDescent="0.25">
      <c r="EX321" s="733" t="str">
        <f t="shared" ref="EX321:FH323" si="100">EX307</f>
        <v>železniční osobní doprava</v>
      </c>
      <c r="EY321" s="747">
        <f t="shared" si="100"/>
        <v>0</v>
      </c>
      <c r="EZ321" s="747">
        <f t="shared" si="100"/>
        <v>294215.40568128601</v>
      </c>
      <c r="FA321" s="747">
        <f t="shared" si="100"/>
        <v>-5457.6468422287144</v>
      </c>
      <c r="FB321" s="747">
        <f t="shared" si="100"/>
        <v>-7927.8168692237232</v>
      </c>
      <c r="FC321" s="747">
        <f t="shared" si="100"/>
        <v>-14773.874027071521</v>
      </c>
      <c r="FD321" s="747">
        <f t="shared" si="100"/>
        <v>-22141.787450888194</v>
      </c>
      <c r="FE321" s="747">
        <f t="shared" si="100"/>
        <v>0</v>
      </c>
      <c r="FF321" s="747">
        <f t="shared" si="100"/>
        <v>0</v>
      </c>
      <c r="FG321" s="747">
        <f t="shared" si="100"/>
        <v>-11918.565030235332</v>
      </c>
      <c r="FH321" s="747">
        <f t="shared" si="100"/>
        <v>11481.523123679101</v>
      </c>
    </row>
    <row r="322" spans="154:164" x14ac:dyDescent="0.25">
      <c r="EX322" s="733" t="str">
        <f t="shared" si="100"/>
        <v>železniční nákladní doprava</v>
      </c>
      <c r="EY322" s="747">
        <f t="shared" si="100"/>
        <v>0</v>
      </c>
      <c r="EZ322" s="747">
        <f t="shared" si="100"/>
        <v>0</v>
      </c>
      <c r="FA322" s="747">
        <f t="shared" si="100"/>
        <v>98242.430469861749</v>
      </c>
      <c r="FB322" s="747">
        <f t="shared" si="100"/>
        <v>99865.39542122389</v>
      </c>
      <c r="FC322" s="747">
        <f t="shared" si="100"/>
        <v>101515.17175358249</v>
      </c>
      <c r="FD322" s="747">
        <f t="shared" si="100"/>
        <v>103192.20239095169</v>
      </c>
      <c r="FE322" s="747">
        <f t="shared" si="100"/>
        <v>96827.942376415536</v>
      </c>
      <c r="FF322" s="747">
        <f t="shared" si="100"/>
        <v>90225.244985767815</v>
      </c>
      <c r="FG322" s="747">
        <f t="shared" si="100"/>
        <v>91715.766032932763</v>
      </c>
      <c r="FH322" s="747">
        <f t="shared" si="100"/>
        <v>84755.373170724313</v>
      </c>
    </row>
    <row r="323" spans="154:164" x14ac:dyDescent="0.25">
      <c r="EX323" s="754" t="str">
        <f t="shared" si="100"/>
        <v>celkem</v>
      </c>
      <c r="EY323" s="755">
        <f t="shared" si="100"/>
        <v>0</v>
      </c>
      <c r="EZ323" s="755">
        <f t="shared" si="100"/>
        <v>-1469966.5245606303</v>
      </c>
      <c r="FA323" s="755">
        <f t="shared" si="100"/>
        <v>570846.13206653891</v>
      </c>
      <c r="FB323" s="755">
        <f t="shared" si="100"/>
        <v>122191.22432872507</v>
      </c>
      <c r="FC323" s="755">
        <f t="shared" si="100"/>
        <v>300609.11643615941</v>
      </c>
      <c r="FD323" s="755">
        <f t="shared" si="100"/>
        <v>3278607.5164109361</v>
      </c>
      <c r="FE323" s="755">
        <f t="shared" si="100"/>
        <v>96827.942376415536</v>
      </c>
      <c r="FF323" s="755">
        <f t="shared" si="100"/>
        <v>90225.244985767815</v>
      </c>
      <c r="FG323" s="755">
        <f t="shared" si="100"/>
        <v>1895809.9049087653</v>
      </c>
      <c r="FH323" s="755">
        <f t="shared" si="100"/>
        <v>-1701670.7055465125</v>
      </c>
    </row>
    <row r="325" spans="154:164" x14ac:dyDescent="0.25">
      <c r="EX325" s="752" t="str">
        <f>EX319</f>
        <v>úspory externalit</v>
      </c>
      <c r="EY325" s="753">
        <f>FI305</f>
        <v>2035</v>
      </c>
      <c r="EZ325" s="753">
        <f t="shared" ref="EZ325:FC329" si="101">FJ305</f>
        <v>2036</v>
      </c>
      <c r="FA325" s="753">
        <f t="shared" si="101"/>
        <v>2037</v>
      </c>
      <c r="FB325" s="753">
        <f t="shared" si="101"/>
        <v>2038</v>
      </c>
      <c r="FC325" s="753">
        <f t="shared" si="101"/>
        <v>2039</v>
      </c>
      <c r="FD325" s="753">
        <f>EY312</f>
        <v>2040</v>
      </c>
      <c r="FE325" s="753">
        <f t="shared" ref="FE325:FH329" si="102">EZ312</f>
        <v>2041</v>
      </c>
      <c r="FF325" s="753">
        <f t="shared" si="102"/>
        <v>2042</v>
      </c>
      <c r="FG325" s="753">
        <f t="shared" si="102"/>
        <v>2043</v>
      </c>
      <c r="FH325" s="753">
        <f t="shared" si="102"/>
        <v>2044</v>
      </c>
    </row>
    <row r="326" spans="154:164" x14ac:dyDescent="0.25">
      <c r="EX326" s="733" t="str">
        <f t="shared" ref="EX326:EX329" si="103">EX320</f>
        <v>silniční osobní doprava (BUS)</v>
      </c>
      <c r="EY326" s="747">
        <f t="shared" ref="EY326:EY329" si="104">FI306</f>
        <v>1960926.5755264051</v>
      </c>
      <c r="EZ326" s="747">
        <f t="shared" si="101"/>
        <v>78323.93600167855</v>
      </c>
      <c r="FA326" s="747">
        <f t="shared" si="101"/>
        <v>75089.920863418098</v>
      </c>
      <c r="FB326" s="747">
        <f t="shared" si="101"/>
        <v>0</v>
      </c>
      <c r="FC326" s="747">
        <f t="shared" si="101"/>
        <v>403067.76715720195</v>
      </c>
      <c r="FD326" s="747">
        <f t="shared" ref="FD326:FD329" si="105">EY313</f>
        <v>3091013.696137134</v>
      </c>
      <c r="FE326" s="747">
        <f t="shared" si="102"/>
        <v>-3196484.8275721939</v>
      </c>
      <c r="FF326" s="747">
        <f t="shared" si="102"/>
        <v>-415099.593004575</v>
      </c>
      <c r="FG326" s="747">
        <f t="shared" si="102"/>
        <v>222493.59885848869</v>
      </c>
      <c r="FH326" s="747">
        <f t="shared" si="102"/>
        <v>78166.302842669829</v>
      </c>
    </row>
    <row r="327" spans="154:164" x14ac:dyDescent="0.25">
      <c r="EX327" s="733" t="str">
        <f t="shared" si="103"/>
        <v>železniční osobní doprava</v>
      </c>
      <c r="EY327" s="747">
        <f t="shared" si="104"/>
        <v>-20294.153942198842</v>
      </c>
      <c r="EZ327" s="747">
        <f t="shared" si="101"/>
        <v>-11267.472395089339</v>
      </c>
      <c r="FA327" s="747">
        <f t="shared" si="101"/>
        <v>-857.24200632760767</v>
      </c>
      <c r="FB327" s="747">
        <f t="shared" si="101"/>
        <v>0</v>
      </c>
      <c r="FC327" s="747">
        <f t="shared" si="101"/>
        <v>-3011.5210080945399</v>
      </c>
      <c r="FD327" s="747">
        <f t="shared" si="105"/>
        <v>-15317.547742485884</v>
      </c>
      <c r="FE327" s="747">
        <f t="shared" si="102"/>
        <v>8608.3546857734909</v>
      </c>
      <c r="FF327" s="747">
        <f t="shared" si="102"/>
        <v>2309.3760725095635</v>
      </c>
      <c r="FG327" s="747">
        <f t="shared" si="102"/>
        <v>-17704.902794468217</v>
      </c>
      <c r="FH327" s="747">
        <f t="shared" si="102"/>
        <v>-3975.4413538917433</v>
      </c>
    </row>
    <row r="328" spans="154:164" x14ac:dyDescent="0.25">
      <c r="EX328" s="733" t="str">
        <f t="shared" si="103"/>
        <v>železniční nákladní doprava</v>
      </c>
      <c r="EY328" s="747">
        <f t="shared" si="104"/>
        <v>86155.531935504667</v>
      </c>
      <c r="EZ328" s="747">
        <f t="shared" si="101"/>
        <v>87578.821323079232</v>
      </c>
      <c r="FA328" s="747">
        <f t="shared" si="101"/>
        <v>89025.623451336491</v>
      </c>
      <c r="FB328" s="747">
        <f t="shared" si="101"/>
        <v>99545.959425827808</v>
      </c>
      <c r="FC328" s="747">
        <f t="shared" si="101"/>
        <v>101190.45867554256</v>
      </c>
      <c r="FD328" s="747">
        <f t="shared" si="105"/>
        <v>80448.245212958805</v>
      </c>
      <c r="FE328" s="747">
        <f t="shared" si="102"/>
        <v>89211.545698774746</v>
      </c>
      <c r="FF328" s="747">
        <f t="shared" si="102"/>
        <v>90685.320433718531</v>
      </c>
      <c r="FG328" s="747">
        <f t="shared" si="102"/>
        <v>99865.395421223773</v>
      </c>
      <c r="FH328" s="747">
        <f t="shared" si="102"/>
        <v>101515.17175358249</v>
      </c>
    </row>
    <row r="329" spans="154:164" x14ac:dyDescent="0.25">
      <c r="EX329" s="754" t="str">
        <f t="shared" si="103"/>
        <v>celkem</v>
      </c>
      <c r="EY329" s="755">
        <f t="shared" si="104"/>
        <v>2026787.9535197113</v>
      </c>
      <c r="EZ329" s="755">
        <f t="shared" si="101"/>
        <v>154635.28492966847</v>
      </c>
      <c r="FA329" s="755">
        <f t="shared" si="101"/>
        <v>163258.30230842702</v>
      </c>
      <c r="FB329" s="755">
        <f t="shared" si="101"/>
        <v>99545.959425827808</v>
      </c>
      <c r="FC329" s="755">
        <f t="shared" si="101"/>
        <v>501246.7048246499</v>
      </c>
      <c r="FD329" s="755">
        <f t="shared" si="105"/>
        <v>3156144.3936076066</v>
      </c>
      <c r="FE329" s="755">
        <f t="shared" si="102"/>
        <v>-3098664.9271876458</v>
      </c>
      <c r="FF329" s="755">
        <f t="shared" si="102"/>
        <v>-322104.89649834682</v>
      </c>
      <c r="FG329" s="755">
        <f t="shared" si="102"/>
        <v>304654.09148524428</v>
      </c>
      <c r="FH329" s="755">
        <f t="shared" si="102"/>
        <v>175706.03324236063</v>
      </c>
    </row>
    <row r="331" spans="154:164" x14ac:dyDescent="0.25">
      <c r="EX331" s="752" t="str">
        <f>EX325</f>
        <v>úspory externalit</v>
      </c>
      <c r="EY331" s="753">
        <f>FD312</f>
        <v>2045</v>
      </c>
      <c r="EZ331" s="753">
        <f t="shared" ref="EZ331:FH331" si="106">FE312</f>
        <v>2046</v>
      </c>
      <c r="FA331" s="753">
        <f t="shared" si="106"/>
        <v>2047</v>
      </c>
      <c r="FB331" s="753">
        <f t="shared" si="106"/>
        <v>2048</v>
      </c>
      <c r="FC331" s="753">
        <f t="shared" si="106"/>
        <v>2049</v>
      </c>
      <c r="FD331" s="753">
        <f t="shared" si="106"/>
        <v>2050</v>
      </c>
      <c r="FE331" s="753">
        <f t="shared" si="106"/>
        <v>2051</v>
      </c>
      <c r="FF331" s="753">
        <f t="shared" si="106"/>
        <v>2052</v>
      </c>
      <c r="FG331" s="753">
        <f t="shared" si="106"/>
        <v>2053</v>
      </c>
      <c r="FH331" s="753">
        <f t="shared" si="106"/>
        <v>2054</v>
      </c>
    </row>
    <row r="332" spans="154:164" x14ac:dyDescent="0.25">
      <c r="EX332" s="733" t="str">
        <f t="shared" ref="EX332:EX335" si="107">EX326</f>
        <v>silniční osobní doprava (BUS)</v>
      </c>
      <c r="EY332" s="747">
        <f t="shared" ref="EY332:EY335" si="108">FD313</f>
        <v>360308.71086209069</v>
      </c>
      <c r="EZ332" s="747">
        <f t="shared" ref="EZ332:EZ335" si="109">FE313</f>
        <v>385217.80150447733</v>
      </c>
      <c r="FA332" s="747">
        <f t="shared" ref="FA332:FA335" si="110">FF313</f>
        <v>-222108.17691064347</v>
      </c>
      <c r="FB332" s="747">
        <f t="shared" ref="FB332:FB335" si="111">FG313</f>
        <v>175815.81741068378</v>
      </c>
      <c r="FC332" s="747">
        <f t="shared" ref="FC332:FC335" si="112">FH313</f>
        <v>13351.598858826183</v>
      </c>
      <c r="FD332" s="747">
        <f t="shared" ref="FD332:FD335" si="113">FI313</f>
        <v>109003.65238979318</v>
      </c>
      <c r="FE332" s="747">
        <f t="shared" ref="FE332:FE335" si="114">FJ313</f>
        <v>360240.37612454552</v>
      </c>
      <c r="FF332" s="747">
        <f t="shared" ref="FF332:FF335" si="115">FK313</f>
        <v>156029.3162314879</v>
      </c>
      <c r="FG332" s="747">
        <f t="shared" ref="FG332:FG335" si="116">FL313</f>
        <v>-1076274.8795432374</v>
      </c>
      <c r="FH332" s="747">
        <f t="shared" ref="FH332:FH335" si="117">FM313</f>
        <v>0</v>
      </c>
    </row>
    <row r="333" spans="154:164" x14ac:dyDescent="0.25">
      <c r="EX333" s="733" t="str">
        <f t="shared" si="107"/>
        <v>železniční osobní doprava</v>
      </c>
      <c r="EY333" s="747">
        <f t="shared" si="108"/>
        <v>-5875.3848350164481</v>
      </c>
      <c r="EZ333" s="747">
        <f t="shared" si="109"/>
        <v>-5268.391804481158</v>
      </c>
      <c r="FA333" s="747">
        <f t="shared" si="110"/>
        <v>3513.314436298213</v>
      </c>
      <c r="FB333" s="747">
        <f t="shared" si="111"/>
        <v>-2007.1495924916817</v>
      </c>
      <c r="FC333" s="747">
        <f t="shared" si="112"/>
        <v>-3498.7198384382064</v>
      </c>
      <c r="FD333" s="747">
        <f t="shared" si="113"/>
        <v>-1244.4081522154156</v>
      </c>
      <c r="FE333" s="747">
        <f t="shared" si="114"/>
        <v>-9060.2855275631882</v>
      </c>
      <c r="FF333" s="747">
        <f t="shared" si="115"/>
        <v>-1165.7731081397505</v>
      </c>
      <c r="FG333" s="747">
        <f t="shared" si="116"/>
        <v>18563.458764146897</v>
      </c>
      <c r="FH333" s="747">
        <f t="shared" si="117"/>
        <v>0</v>
      </c>
    </row>
    <row r="334" spans="154:164" x14ac:dyDescent="0.25">
      <c r="EX334" s="733" t="str">
        <f t="shared" si="107"/>
        <v>železniční nákladní doprava</v>
      </c>
      <c r="EY334" s="747">
        <f t="shared" si="108"/>
        <v>103192.20239095174</v>
      </c>
      <c r="EZ334" s="747">
        <f t="shared" si="109"/>
        <v>104896.93757445016</v>
      </c>
      <c r="FA334" s="747">
        <f t="shared" si="110"/>
        <v>114832.1299818863</v>
      </c>
      <c r="FB334" s="747">
        <f t="shared" si="111"/>
        <v>116729.15676918707</v>
      </c>
      <c r="FC334" s="747">
        <f t="shared" si="112"/>
        <v>127133.0597560865</v>
      </c>
      <c r="FD334" s="747">
        <f t="shared" si="113"/>
        <v>129233.29790325707</v>
      </c>
      <c r="FE334" s="747">
        <f t="shared" si="114"/>
        <v>140126.11411692674</v>
      </c>
      <c r="FF334" s="747">
        <f t="shared" si="115"/>
        <v>142440.99752213841</v>
      </c>
      <c r="FG334" s="747">
        <f t="shared" si="116"/>
        <v>153843.75547627953</v>
      </c>
      <c r="FH334" s="747">
        <f t="shared" si="117"/>
        <v>147186.12170988001</v>
      </c>
    </row>
    <row r="335" spans="154:164" x14ac:dyDescent="0.25">
      <c r="EX335" s="754" t="str">
        <f t="shared" si="107"/>
        <v>celkem</v>
      </c>
      <c r="EY335" s="755">
        <f t="shared" si="108"/>
        <v>457625.52841802599</v>
      </c>
      <c r="EZ335" s="755">
        <f t="shared" si="109"/>
        <v>484846.34727444639</v>
      </c>
      <c r="FA335" s="755">
        <f t="shared" si="110"/>
        <v>-103762.7324924593</v>
      </c>
      <c r="FB335" s="755">
        <f t="shared" si="111"/>
        <v>290537.82458737923</v>
      </c>
      <c r="FC335" s="755">
        <f t="shared" si="112"/>
        <v>136985.9387764745</v>
      </c>
      <c r="FD335" s="755">
        <f t="shared" si="113"/>
        <v>236992.54214083485</v>
      </c>
      <c r="FE335" s="755">
        <f t="shared" si="114"/>
        <v>491306.20471390901</v>
      </c>
      <c r="FF335" s="755">
        <f t="shared" si="115"/>
        <v>297304.54064548656</v>
      </c>
      <c r="FG335" s="755">
        <f t="shared" si="116"/>
        <v>-903867.66530281084</v>
      </c>
      <c r="FH335" s="755">
        <f t="shared" si="117"/>
        <v>147186.12170988001</v>
      </c>
    </row>
    <row r="338" spans="172:188" ht="39.75" customHeight="1" x14ac:dyDescent="0.25">
      <c r="FP338" s="320"/>
      <c r="FQ338" s="320"/>
      <c r="FR338" s="739" t="s">
        <v>896</v>
      </c>
      <c r="FS338" s="739" t="s">
        <v>897</v>
      </c>
      <c r="FT338" s="739" t="s">
        <v>898</v>
      </c>
      <c r="FU338" s="739" t="s">
        <v>899</v>
      </c>
      <c r="FV338" s="739" t="s">
        <v>615</v>
      </c>
      <c r="FW338" s="739" t="s">
        <v>900</v>
      </c>
      <c r="FX338" s="739" t="s">
        <v>901</v>
      </c>
      <c r="FY338" s="925" t="s">
        <v>902</v>
      </c>
      <c r="FZ338" s="1000" t="s">
        <v>903</v>
      </c>
      <c r="GA338" s="1000" t="s">
        <v>904</v>
      </c>
      <c r="GB338" s="1000" t="s">
        <v>905</v>
      </c>
      <c r="GC338" s="1000" t="s">
        <v>906</v>
      </c>
      <c r="GD338" s="758" t="s">
        <v>907</v>
      </c>
      <c r="GE338" s="758" t="s">
        <v>616</v>
      </c>
      <c r="GF338" s="759" t="s">
        <v>618</v>
      </c>
    </row>
    <row r="339" spans="172:188" x14ac:dyDescent="0.25">
      <c r="FP339" s="1075" t="s">
        <v>614</v>
      </c>
      <c r="FQ339" s="737" t="s">
        <v>885</v>
      </c>
      <c r="FR339" s="1001">
        <f>'[7]8 Příjmy'!E86</f>
        <v>58394.471999999994</v>
      </c>
      <c r="FS339" s="463">
        <v>21.5</v>
      </c>
      <c r="FT339" s="463">
        <v>1</v>
      </c>
      <c r="FU339" s="463">
        <v>1</v>
      </c>
      <c r="FV339" s="999">
        <v>160</v>
      </c>
      <c r="FW339" s="737">
        <v>0.59</v>
      </c>
      <c r="FX339" s="463">
        <v>1</v>
      </c>
      <c r="FY339" s="926">
        <f>FR339*FS339*FT339*FU339*FW339*FX339</f>
        <v>740733.87731999985</v>
      </c>
      <c r="FZ339" s="1001">
        <v>12</v>
      </c>
      <c r="GA339" s="1002">
        <v>4.0380000000000003</v>
      </c>
      <c r="GB339" s="1001">
        <f>FV339</f>
        <v>160</v>
      </c>
      <c r="GC339" s="1003">
        <v>8.2229999999999994E-3</v>
      </c>
      <c r="GD339" s="1004">
        <f>FZ339*GA339*GB339*GC339</f>
        <v>63.752590080000004</v>
      </c>
      <c r="GE339" s="1081">
        <f>SUM(FY339:FY343)</f>
        <v>1243800.0250195998</v>
      </c>
      <c r="GF339" s="760">
        <f>FY339/FR339</f>
        <v>12.684999999999999</v>
      </c>
    </row>
    <row r="340" spans="172:188" x14ac:dyDescent="0.25">
      <c r="FP340" s="1075"/>
      <c r="FQ340" s="737" t="s">
        <v>886</v>
      </c>
      <c r="FR340" s="1001">
        <f>'[7]8 Příjmy'!E87</f>
        <v>348.84</v>
      </c>
      <c r="FS340" s="463">
        <v>21.5</v>
      </c>
      <c r="FT340" s="463">
        <v>1</v>
      </c>
      <c r="FU340" s="463">
        <v>1</v>
      </c>
      <c r="FV340" s="999">
        <v>255</v>
      </c>
      <c r="FW340" s="737">
        <v>0.76</v>
      </c>
      <c r="FX340" s="463">
        <v>1</v>
      </c>
      <c r="FY340" s="926">
        <f t="shared" ref="FY340:FY349" si="118">FR340*FS340*FT340*FU340*FW340*FX340</f>
        <v>5700.0455999999995</v>
      </c>
      <c r="FZ340" s="1001">
        <v>12</v>
      </c>
      <c r="GA340" s="1002">
        <v>4.0380000000000003</v>
      </c>
      <c r="GB340" s="1001">
        <f>FV340</f>
        <v>255</v>
      </c>
      <c r="GC340" s="1003">
        <v>8.2229999999999994E-3</v>
      </c>
      <c r="GD340" s="1004">
        <f t="shared" ref="GD340:GD343" si="119">FZ340*GA340*GB340*GC340</f>
        <v>101.60569044</v>
      </c>
      <c r="GE340" s="1082"/>
      <c r="GF340" s="760">
        <f t="shared" ref="GF340:GF349" si="120">FY340/FR340</f>
        <v>16.34</v>
      </c>
    </row>
    <row r="341" spans="172:188" x14ac:dyDescent="0.25">
      <c r="FP341" s="1075"/>
      <c r="FQ341" s="737" t="s">
        <v>887</v>
      </c>
      <c r="FR341" s="1001">
        <f>'[7]8 Příjmy'!E88</f>
        <v>19227.936000000002</v>
      </c>
      <c r="FS341" s="463">
        <v>21.5</v>
      </c>
      <c r="FT341" s="463">
        <v>1</v>
      </c>
      <c r="FU341" s="463">
        <v>1</v>
      </c>
      <c r="FV341" s="999">
        <v>486</v>
      </c>
      <c r="FW341" s="737">
        <v>1.1399999999999999</v>
      </c>
      <c r="FX341" s="463">
        <v>1</v>
      </c>
      <c r="FY341" s="926">
        <f t="shared" si="118"/>
        <v>471276.71135999996</v>
      </c>
      <c r="FZ341" s="1001">
        <v>1</v>
      </c>
      <c r="GA341" s="1002">
        <v>4.0380000000000003</v>
      </c>
      <c r="GB341" s="1001">
        <f>FV341-86</f>
        <v>400</v>
      </c>
      <c r="GC341" s="1003">
        <v>8.2229999999999994E-3</v>
      </c>
      <c r="GD341" s="1004">
        <f t="shared" si="119"/>
        <v>13.2817896</v>
      </c>
      <c r="GE341" s="1082"/>
      <c r="GF341" s="760">
        <f t="shared" si="120"/>
        <v>24.509999999999994</v>
      </c>
    </row>
    <row r="342" spans="172:188" x14ac:dyDescent="0.25">
      <c r="FP342" s="1075"/>
      <c r="FQ342" s="737" t="s">
        <v>888</v>
      </c>
      <c r="FR342" s="1001">
        <f>'[7]8 Příjmy'!E89</f>
        <v>3370.9040000000005</v>
      </c>
      <c r="FS342" s="463">
        <v>21.5</v>
      </c>
      <c r="FT342" s="737">
        <v>0.71</v>
      </c>
      <c r="FU342" s="463">
        <v>1</v>
      </c>
      <c r="FV342" s="999">
        <v>63</v>
      </c>
      <c r="FW342" s="737">
        <v>0.49</v>
      </c>
      <c r="FX342" s="463">
        <v>1</v>
      </c>
      <c r="FY342" s="926">
        <f t="shared" si="118"/>
        <v>25213.856284400004</v>
      </c>
      <c r="FZ342" s="1001">
        <v>4</v>
      </c>
      <c r="GA342" s="1002">
        <v>4.0380000000000003</v>
      </c>
      <c r="GB342" s="1001">
        <f>FV342</f>
        <v>63</v>
      </c>
      <c r="GC342" s="1003">
        <v>8.2229999999999994E-3</v>
      </c>
      <c r="GD342" s="1004">
        <f t="shared" si="119"/>
        <v>8.3675274479999988</v>
      </c>
      <c r="GE342" s="1082"/>
      <c r="GF342" s="760">
        <f t="shared" si="120"/>
        <v>7.4798499999999999</v>
      </c>
    </row>
    <row r="343" spans="172:188" x14ac:dyDescent="0.25">
      <c r="FP343" s="1075"/>
      <c r="FQ343" s="737" t="s">
        <v>889</v>
      </c>
      <c r="FR343" s="1001">
        <f>'[7]8 Příjmy'!E90</f>
        <v>75.468000000000018</v>
      </c>
      <c r="FS343" s="463">
        <v>21.5</v>
      </c>
      <c r="FT343" s="737">
        <v>0.71</v>
      </c>
      <c r="FU343" s="463">
        <v>1</v>
      </c>
      <c r="FV343" s="999">
        <v>255</v>
      </c>
      <c r="FW343" s="737">
        <v>0.76</v>
      </c>
      <c r="FX343" s="463">
        <v>1</v>
      </c>
      <c r="FY343" s="926">
        <f t="shared" si="118"/>
        <v>875.53445520000014</v>
      </c>
      <c r="FZ343" s="1001">
        <v>4</v>
      </c>
      <c r="GA343" s="1002">
        <v>4.0380000000000003</v>
      </c>
      <c r="GB343" s="1001">
        <f>FV343</f>
        <v>255</v>
      </c>
      <c r="GC343" s="1003">
        <v>8.2229999999999994E-3</v>
      </c>
      <c r="GD343" s="1004">
        <f t="shared" si="119"/>
        <v>33.868563479999999</v>
      </c>
      <c r="GE343" s="1082"/>
      <c r="GF343" s="760">
        <f t="shared" si="120"/>
        <v>11.6014</v>
      </c>
    </row>
    <row r="344" spans="172:188" ht="12.75" customHeight="1" x14ac:dyDescent="0.25">
      <c r="FP344" s="1067" t="s">
        <v>125</v>
      </c>
      <c r="FQ344" s="737" t="s">
        <v>890</v>
      </c>
      <c r="FR344" s="1001">
        <f>'[7]8 Příjmy'!E91</f>
        <v>7074.7950000000001</v>
      </c>
      <c r="FS344" s="463">
        <v>21.5</v>
      </c>
      <c r="FT344" s="463">
        <v>1</v>
      </c>
      <c r="FU344" s="463">
        <v>1</v>
      </c>
      <c r="FV344" s="999">
        <v>1287</v>
      </c>
      <c r="FW344" s="737">
        <v>3.36</v>
      </c>
      <c r="FX344" s="463">
        <v>1</v>
      </c>
      <c r="FY344" s="926">
        <f t="shared" si="118"/>
        <v>511083.19079999998</v>
      </c>
      <c r="FZ344" s="1001" t="s">
        <v>122</v>
      </c>
      <c r="GA344" s="1001" t="s">
        <v>122</v>
      </c>
      <c r="GB344" s="1001" t="s">
        <v>122</v>
      </c>
      <c r="GC344" s="1001" t="s">
        <v>122</v>
      </c>
      <c r="GD344" s="995" t="s">
        <v>122</v>
      </c>
      <c r="GE344" s="1081">
        <f>SUM(FY344:FY345)</f>
        <v>839636.67059999995</v>
      </c>
      <c r="GF344" s="760">
        <f t="shared" si="120"/>
        <v>72.239999999999995</v>
      </c>
    </row>
    <row r="345" spans="172:188" x14ac:dyDescent="0.25">
      <c r="FP345" s="1068"/>
      <c r="FQ345" s="737" t="s">
        <v>891</v>
      </c>
      <c r="FR345" s="1001">
        <f>'[7]8 Příjmy'!E92</f>
        <v>4548.0824999999995</v>
      </c>
      <c r="FS345" s="463">
        <v>21.5</v>
      </c>
      <c r="FT345" s="463">
        <v>1</v>
      </c>
      <c r="FU345" s="463">
        <v>1</v>
      </c>
      <c r="FV345" s="999">
        <v>1287</v>
      </c>
      <c r="FW345" s="737">
        <v>3.36</v>
      </c>
      <c r="FX345" s="463">
        <v>1</v>
      </c>
      <c r="FY345" s="926">
        <f t="shared" si="118"/>
        <v>328553.47979999997</v>
      </c>
      <c r="FZ345" s="1001" t="s">
        <v>122</v>
      </c>
      <c r="GA345" s="1001" t="s">
        <v>122</v>
      </c>
      <c r="GB345" s="1001" t="s">
        <v>122</v>
      </c>
      <c r="GC345" s="1001" t="s">
        <v>122</v>
      </c>
      <c r="GD345" s="995" t="s">
        <v>122</v>
      </c>
      <c r="GE345" s="1082"/>
      <c r="GF345" s="760">
        <f t="shared" si="120"/>
        <v>72.239999999999995</v>
      </c>
    </row>
    <row r="346" spans="172:188" x14ac:dyDescent="0.25">
      <c r="FP346" s="1068"/>
      <c r="FQ346" s="737" t="s">
        <v>892</v>
      </c>
      <c r="FR346" s="1001" t="s">
        <v>122</v>
      </c>
      <c r="FS346" s="463">
        <v>21.5</v>
      </c>
      <c r="FT346" s="463">
        <v>1</v>
      </c>
      <c r="FU346" s="463">
        <v>1</v>
      </c>
      <c r="FV346" s="999">
        <v>1087</v>
      </c>
      <c r="FW346" s="737">
        <v>2.77</v>
      </c>
      <c r="FX346" s="463">
        <v>1</v>
      </c>
      <c r="FY346" s="926" t="e">
        <f t="shared" si="118"/>
        <v>#VALUE!</v>
      </c>
      <c r="FZ346" s="1001" t="s">
        <v>122</v>
      </c>
      <c r="GA346" s="1001" t="s">
        <v>122</v>
      </c>
      <c r="GB346" s="1001" t="s">
        <v>122</v>
      </c>
      <c r="GC346" s="1001" t="s">
        <v>122</v>
      </c>
      <c r="GD346" s="995" t="s">
        <v>122</v>
      </c>
      <c r="GE346" s="1081" t="e">
        <f>SUM(FY346:FY348)</f>
        <v>#VALUE!</v>
      </c>
      <c r="GF346" s="760" t="e">
        <f t="shared" si="120"/>
        <v>#VALUE!</v>
      </c>
    </row>
    <row r="347" spans="172:188" x14ac:dyDescent="0.25">
      <c r="FP347" s="1068"/>
      <c r="FQ347" s="737" t="s">
        <v>893</v>
      </c>
      <c r="FR347" s="1001" t="s">
        <v>122</v>
      </c>
      <c r="FS347" s="463">
        <v>21.5</v>
      </c>
      <c r="FT347" s="463">
        <v>1</v>
      </c>
      <c r="FU347" s="463">
        <v>1</v>
      </c>
      <c r="FV347" s="999">
        <v>1687</v>
      </c>
      <c r="FW347" s="737">
        <v>4.3600000000000003</v>
      </c>
      <c r="FX347" s="463">
        <v>1</v>
      </c>
      <c r="FY347" s="926" t="e">
        <f t="shared" si="118"/>
        <v>#VALUE!</v>
      </c>
      <c r="FZ347" s="1001" t="s">
        <v>122</v>
      </c>
      <c r="GA347" s="1001" t="s">
        <v>122</v>
      </c>
      <c r="GB347" s="1001" t="s">
        <v>122</v>
      </c>
      <c r="GC347" s="1001" t="s">
        <v>122</v>
      </c>
      <c r="GD347" s="995" t="s">
        <v>122</v>
      </c>
      <c r="GE347" s="1082"/>
      <c r="GF347" s="760" t="e">
        <f t="shared" si="120"/>
        <v>#VALUE!</v>
      </c>
    </row>
    <row r="348" spans="172:188" x14ac:dyDescent="0.25">
      <c r="FP348" s="1069"/>
      <c r="FQ348" s="737" t="s">
        <v>894</v>
      </c>
      <c r="FR348" s="1001" t="s">
        <v>122</v>
      </c>
      <c r="FS348" s="463">
        <v>21.5</v>
      </c>
      <c r="FT348" s="463">
        <v>1</v>
      </c>
      <c r="FU348" s="463">
        <v>1</v>
      </c>
      <c r="FV348" s="999">
        <v>2274</v>
      </c>
      <c r="FW348" s="737">
        <v>5.92</v>
      </c>
      <c r="FX348" s="463">
        <v>1</v>
      </c>
      <c r="FY348" s="926" t="e">
        <f t="shared" si="118"/>
        <v>#VALUE!</v>
      </c>
      <c r="FZ348" s="1001" t="s">
        <v>122</v>
      </c>
      <c r="GA348" s="1001" t="s">
        <v>122</v>
      </c>
      <c r="GB348" s="1001" t="s">
        <v>122</v>
      </c>
      <c r="GC348" s="1001" t="s">
        <v>122</v>
      </c>
      <c r="GD348" s="995" t="s">
        <v>122</v>
      </c>
      <c r="GE348" s="1082"/>
      <c r="GF348" s="760" t="e">
        <f t="shared" si="120"/>
        <v>#VALUE!</v>
      </c>
    </row>
    <row r="349" spans="172:188" x14ac:dyDescent="0.25">
      <c r="FP349" s="1050"/>
      <c r="FQ349" s="737" t="s">
        <v>895</v>
      </c>
      <c r="FR349" s="998">
        <v>55</v>
      </c>
      <c r="FS349" s="463">
        <v>21.5</v>
      </c>
      <c r="FT349" s="737">
        <v>0.71</v>
      </c>
      <c r="FU349" s="463">
        <v>1</v>
      </c>
      <c r="FV349" s="999">
        <v>1287</v>
      </c>
      <c r="FW349" s="737">
        <v>3.36</v>
      </c>
      <c r="FX349" s="463">
        <v>1</v>
      </c>
      <c r="FY349" s="926">
        <f t="shared" si="118"/>
        <v>2820.9719999999998</v>
      </c>
      <c r="FZ349" s="1001" t="s">
        <v>122</v>
      </c>
      <c r="GA349" s="1001" t="s">
        <v>122</v>
      </c>
      <c r="GB349" s="1001" t="s">
        <v>122</v>
      </c>
      <c r="GC349" s="1001" t="s">
        <v>122</v>
      </c>
      <c r="GD349" s="995" t="s">
        <v>122</v>
      </c>
      <c r="GE349" s="761">
        <f>FY349</f>
        <v>2820.9719999999998</v>
      </c>
      <c r="GF349" s="760">
        <f t="shared" si="120"/>
        <v>51.290399999999998</v>
      </c>
    </row>
    <row r="350" spans="172:188" x14ac:dyDescent="0.25">
      <c r="FR350" s="749">
        <f>SUM(FR339:FR341)</f>
        <v>77971.247999999992</v>
      </c>
    </row>
    <row r="351" spans="172:188" x14ac:dyDescent="0.25">
      <c r="FR351" s="749">
        <f>SUM(FR342:FR343)</f>
        <v>3446.3720000000003</v>
      </c>
    </row>
    <row r="352" spans="172:188" x14ac:dyDescent="0.25">
      <c r="FR352" s="749">
        <f>SUM(FR344:FR345)</f>
        <v>11622.877499999999</v>
      </c>
    </row>
    <row r="353" spans="174:174" x14ac:dyDescent="0.25">
      <c r="FR353" s="749">
        <f>SUM(FR346:FR348)</f>
        <v>0</v>
      </c>
    </row>
  </sheetData>
  <mergeCells count="298">
    <mergeCell ref="A262:B262"/>
    <mergeCell ref="A264:F264"/>
    <mergeCell ref="A265:B266"/>
    <mergeCell ref="C265:F265"/>
    <mergeCell ref="A267:B267"/>
    <mergeCell ref="A268:B268"/>
    <mergeCell ref="A269:B269"/>
    <mergeCell ref="A223:F223"/>
    <mergeCell ref="A229:F229"/>
    <mergeCell ref="A257:F257"/>
    <mergeCell ref="C258:F258"/>
    <mergeCell ref="A258:B259"/>
    <mergeCell ref="CJ3:CJ4"/>
    <mergeCell ref="CJ5:CJ6"/>
    <mergeCell ref="CJ7:CJ8"/>
    <mergeCell ref="CJ9:CJ10"/>
    <mergeCell ref="CJ11:CJ12"/>
    <mergeCell ref="CJ13:CJ14"/>
    <mergeCell ref="BY3:BY4"/>
    <mergeCell ref="CH3:CH4"/>
    <mergeCell ref="CH5:CH6"/>
    <mergeCell ref="CH7:CH8"/>
    <mergeCell ref="CH9:CH10"/>
    <mergeCell ref="CH11:CH12"/>
    <mergeCell ref="CH13:CH14"/>
    <mergeCell ref="CI3:CI4"/>
    <mergeCell ref="CI5:CI6"/>
    <mergeCell ref="CI7:CI8"/>
    <mergeCell ref="CI9:CI10"/>
    <mergeCell ref="CA7:CA8"/>
    <mergeCell ref="CB7:CB8"/>
    <mergeCell ref="CE3:CE4"/>
    <mergeCell ref="CE5:CE6"/>
    <mergeCell ref="CE7:CE8"/>
    <mergeCell ref="CE9:CE10"/>
    <mergeCell ref="CE11:CE12"/>
    <mergeCell ref="A208:C208"/>
    <mergeCell ref="CA9:CA10"/>
    <mergeCell ref="CB9:CB10"/>
    <mergeCell ref="CA11:CA12"/>
    <mergeCell ref="S82:U82"/>
    <mergeCell ref="S88:U88"/>
    <mergeCell ref="Y84:Y85"/>
    <mergeCell ref="Z86:AE86"/>
    <mergeCell ref="G82:I82"/>
    <mergeCell ref="B31:C31"/>
    <mergeCell ref="A43:C43"/>
    <mergeCell ref="A53:C53"/>
    <mergeCell ref="A64:C64"/>
    <mergeCell ref="N38:O38"/>
    <mergeCell ref="H50:I50"/>
    <mergeCell ref="Y82:Y83"/>
    <mergeCell ref="J82:L82"/>
    <mergeCell ref="G81:U81"/>
    <mergeCell ref="M48:T48"/>
    <mergeCell ref="A42:C42"/>
    <mergeCell ref="A52:C52"/>
    <mergeCell ref="A63:C63"/>
    <mergeCell ref="A71:C71"/>
    <mergeCell ref="A72:C72"/>
    <mergeCell ref="CN148:CN149"/>
    <mergeCell ref="A235:F235"/>
    <mergeCell ref="A241:F241"/>
    <mergeCell ref="A247:F247"/>
    <mergeCell ref="A252:F252"/>
    <mergeCell ref="A176:C176"/>
    <mergeCell ref="A177:C177"/>
    <mergeCell ref="A183:C183"/>
    <mergeCell ref="A184:C184"/>
    <mergeCell ref="A191:C191"/>
    <mergeCell ref="A154:C154"/>
    <mergeCell ref="A162:C162"/>
    <mergeCell ref="A163:C163"/>
    <mergeCell ref="A169:C169"/>
    <mergeCell ref="N200:N201"/>
    <mergeCell ref="A170:C170"/>
    <mergeCell ref="A153:C153"/>
    <mergeCell ref="CN154:CN155"/>
    <mergeCell ref="A214:C214"/>
    <mergeCell ref="N198:N199"/>
    <mergeCell ref="A192:C192"/>
    <mergeCell ref="A199:C199"/>
    <mergeCell ref="A201:C201"/>
    <mergeCell ref="A207:C207"/>
    <mergeCell ref="T67:T70"/>
    <mergeCell ref="T71:T75"/>
    <mergeCell ref="Z81:AE81"/>
    <mergeCell ref="A2:G2"/>
    <mergeCell ref="B11:C11"/>
    <mergeCell ref="E11:G11"/>
    <mergeCell ref="H38:M38"/>
    <mergeCell ref="A3:G3"/>
    <mergeCell ref="A12:G12"/>
    <mergeCell ref="E5:G5"/>
    <mergeCell ref="E31:G31"/>
    <mergeCell ref="E14:G14"/>
    <mergeCell ref="A18:G18"/>
    <mergeCell ref="E20:G20"/>
    <mergeCell ref="A26:G26"/>
    <mergeCell ref="B5:D5"/>
    <mergeCell ref="B14:D14"/>
    <mergeCell ref="B20:D20"/>
    <mergeCell ref="A106:C106"/>
    <mergeCell ref="A107:C107"/>
    <mergeCell ref="Q67:Q70"/>
    <mergeCell ref="Q71:Q75"/>
    <mergeCell ref="A83:C83"/>
    <mergeCell ref="A82:C82"/>
    <mergeCell ref="A91:C91"/>
    <mergeCell ref="A100:C100"/>
    <mergeCell ref="A99:C99"/>
    <mergeCell ref="M102:O102"/>
    <mergeCell ref="P102:R102"/>
    <mergeCell ref="G95:R95"/>
    <mergeCell ref="J96:L96"/>
    <mergeCell ref="M96:O96"/>
    <mergeCell ref="P96:R96"/>
    <mergeCell ref="G101:R101"/>
    <mergeCell ref="J102:L102"/>
    <mergeCell ref="A92:C92"/>
    <mergeCell ref="P88:R88"/>
    <mergeCell ref="G87:U87"/>
    <mergeCell ref="J88:L88"/>
    <mergeCell ref="M88:O88"/>
    <mergeCell ref="M82:O82"/>
    <mergeCell ref="P82:R82"/>
    <mergeCell ref="A134:C134"/>
    <mergeCell ref="A135:C135"/>
    <mergeCell ref="A113:C113"/>
    <mergeCell ref="A114:C114"/>
    <mergeCell ref="A120:C120"/>
    <mergeCell ref="A121:C121"/>
    <mergeCell ref="I133:J133"/>
    <mergeCell ref="K133:L133"/>
    <mergeCell ref="I144:J144"/>
    <mergeCell ref="K144:L144"/>
    <mergeCell ref="A127:C127"/>
    <mergeCell ref="A128:C128"/>
    <mergeCell ref="I123:J123"/>
    <mergeCell ref="K123:L123"/>
    <mergeCell ref="A141:C141"/>
    <mergeCell ref="A142:C142"/>
    <mergeCell ref="E128:E129"/>
    <mergeCell ref="Q124:T124"/>
    <mergeCell ref="Q125:T125"/>
    <mergeCell ref="Q126:T126"/>
    <mergeCell ref="M123:M124"/>
    <mergeCell ref="N123:N124"/>
    <mergeCell ref="M133:M134"/>
    <mergeCell ref="N133:N134"/>
    <mergeCell ref="M144:M145"/>
    <mergeCell ref="N144:N145"/>
    <mergeCell ref="Q123:S123"/>
    <mergeCell ref="O133:O134"/>
    <mergeCell ref="O123:O124"/>
    <mergeCell ref="BX3:BX4"/>
    <mergeCell ref="BX5:BX6"/>
    <mergeCell ref="BX7:BX8"/>
    <mergeCell ref="BX9:BX10"/>
    <mergeCell ref="BX11:BX12"/>
    <mergeCell ref="BX13:BX14"/>
    <mergeCell ref="BZ3:BZ4"/>
    <mergeCell ref="AZ113:BN113"/>
    <mergeCell ref="BR103:CE103"/>
    <mergeCell ref="BR113:CE113"/>
    <mergeCell ref="CC3:CC4"/>
    <mergeCell ref="CD3:CD4"/>
    <mergeCell ref="BY5:BY6"/>
    <mergeCell ref="BZ5:BZ6"/>
    <mergeCell ref="CC5:CC6"/>
    <mergeCell ref="CD5:CD6"/>
    <mergeCell ref="BY7:BY8"/>
    <mergeCell ref="BZ7:BZ8"/>
    <mergeCell ref="CC7:CC8"/>
    <mergeCell ref="CD7:CD8"/>
    <mergeCell ref="CA3:CA4"/>
    <mergeCell ref="CB3:CB4"/>
    <mergeCell ref="CA5:CA6"/>
    <mergeCell ref="CB5:CB6"/>
    <mergeCell ref="CI11:CI12"/>
    <mergeCell ref="CI13:CI14"/>
    <mergeCell ref="BY17:BY18"/>
    <mergeCell ref="BZ17:BZ18"/>
    <mergeCell ref="CC17:CC18"/>
    <mergeCell ref="CD17:CD18"/>
    <mergeCell ref="CE13:CE14"/>
    <mergeCell ref="CF3:CF14"/>
    <mergeCell ref="CC9:CC10"/>
    <mergeCell ref="CD9:CD10"/>
    <mergeCell ref="BY9:BY10"/>
    <mergeCell ref="BZ9:BZ10"/>
    <mergeCell ref="BY11:BY12"/>
    <mergeCell ref="BZ11:BZ12"/>
    <mergeCell ref="BY13:BY14"/>
    <mergeCell ref="BZ13:BZ14"/>
    <mergeCell ref="CC11:CC12"/>
    <mergeCell ref="CD11:CD12"/>
    <mergeCell ref="CC13:CC14"/>
    <mergeCell ref="CD13:CD14"/>
    <mergeCell ref="CB11:CB12"/>
    <mergeCell ref="CA13:CA14"/>
    <mergeCell ref="CB13:CB14"/>
    <mergeCell ref="AG81:AG85"/>
    <mergeCell ref="AZ123:BM123"/>
    <mergeCell ref="AZ103:BO103"/>
    <mergeCell ref="DH158:DJ158"/>
    <mergeCell ref="DL214:DL215"/>
    <mergeCell ref="CW175:CW184"/>
    <mergeCell ref="DL179:DL180"/>
    <mergeCell ref="CW185:CW186"/>
    <mergeCell ref="CW204:CW206"/>
    <mergeCell ref="CW207:CW211"/>
    <mergeCell ref="CW202:CW203"/>
    <mergeCell ref="DK214:DK215"/>
    <mergeCell ref="DJ214:DJ215"/>
    <mergeCell ref="DI214:DI215"/>
    <mergeCell ref="DH214:DH215"/>
    <mergeCell ref="BR123:CE123"/>
    <mergeCell ref="CN156:CN157"/>
    <mergeCell ref="CO154:CO155"/>
    <mergeCell ref="CU156:CU157"/>
    <mergeCell ref="CN145:CO146"/>
    <mergeCell ref="CP145:CT145"/>
    <mergeCell ref="CU145:CU146"/>
    <mergeCell ref="CU154:CU155"/>
    <mergeCell ref="CP154:CT154"/>
    <mergeCell ref="DM214:DM215"/>
    <mergeCell ref="GE344:GE345"/>
    <mergeCell ref="GE346:GE348"/>
    <mergeCell ref="DQ231:DS231"/>
    <mergeCell ref="DQ220:DS220"/>
    <mergeCell ref="DN175:DN184"/>
    <mergeCell ref="DN185:DN186"/>
    <mergeCell ref="DN187:DN196"/>
    <mergeCell ref="DN198:DN200"/>
    <mergeCell ref="DN202:DN206"/>
    <mergeCell ref="DN207:DN211"/>
    <mergeCell ref="DN212:DN218"/>
    <mergeCell ref="EE242:EG242"/>
    <mergeCell ref="EK242:EM242"/>
    <mergeCell ref="EH242:EJ242"/>
    <mergeCell ref="EN242:EP242"/>
    <mergeCell ref="EQ242:ES242"/>
    <mergeCell ref="ET242:EV242"/>
    <mergeCell ref="EE274:EG274"/>
    <mergeCell ref="EH274:EJ274"/>
    <mergeCell ref="EK274:EM274"/>
    <mergeCell ref="EN274:EP274"/>
    <mergeCell ref="EQ274:ES274"/>
    <mergeCell ref="ET274:EV274"/>
    <mergeCell ref="CX196:CY196"/>
    <mergeCell ref="GE339:GE343"/>
    <mergeCell ref="DL173:DL174"/>
    <mergeCell ref="CW198:CW200"/>
    <mergeCell ref="CX158:CZ158"/>
    <mergeCell ref="CW158:CW159"/>
    <mergeCell ref="DA158:DA159"/>
    <mergeCell ref="DC158:DE158"/>
    <mergeCell ref="DF158:DF159"/>
    <mergeCell ref="DK158:DK159"/>
    <mergeCell ref="DB173:DB174"/>
    <mergeCell ref="DK179:DK180"/>
    <mergeCell ref="DA179:DA180"/>
    <mergeCell ref="DH179:DH180"/>
    <mergeCell ref="DI179:DI180"/>
    <mergeCell ref="DJ179:DJ180"/>
    <mergeCell ref="DH173:DJ173"/>
    <mergeCell ref="DK173:DK174"/>
    <mergeCell ref="DG173:DG174"/>
    <mergeCell ref="DK191:DK192"/>
    <mergeCell ref="DJ191:DJ192"/>
    <mergeCell ref="DC173:DE173"/>
    <mergeCell ref="DF173:DF174"/>
    <mergeCell ref="CW187:CW196"/>
    <mergeCell ref="FP344:FP348"/>
    <mergeCell ref="A271:H271"/>
    <mergeCell ref="A277:H277"/>
    <mergeCell ref="A283:H283"/>
    <mergeCell ref="A287:H287"/>
    <mergeCell ref="DP156:DQ156"/>
    <mergeCell ref="DR156:DS156"/>
    <mergeCell ref="CW212:CW218"/>
    <mergeCell ref="FP339:FP343"/>
    <mergeCell ref="A215:C215"/>
    <mergeCell ref="B291:C291"/>
    <mergeCell ref="D291:E291"/>
    <mergeCell ref="B292:C292"/>
    <mergeCell ref="B293:C293"/>
    <mergeCell ref="B294:C294"/>
    <mergeCell ref="B295:C295"/>
    <mergeCell ref="B296:C296"/>
    <mergeCell ref="D292:E292"/>
    <mergeCell ref="D293:E293"/>
    <mergeCell ref="D294:E294"/>
    <mergeCell ref="D295:E295"/>
    <mergeCell ref="D296:E296"/>
    <mergeCell ref="A260:B260"/>
    <mergeCell ref="A261:B261"/>
  </mergeCells>
  <pageMargins left="0.7" right="0.7" top="0.78740157499999996" bottom="0.78740157499999996" header="0.3" footer="0.3"/>
  <pageSetup paperSize="9" orientation="portrait" r:id="rId1"/>
  <ignoredErrors>
    <ignoredError sqref="EY317:FM317" formulaRange="1"/>
    <ignoredError sqref="GB341 DD161 DL205 BZ5:BZ8 BZ9:BZ14" formula="1"/>
    <ignoredError sqref="D259:F259 B272:H272 B278:H278 B284:H284 B288:H288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B1:CH310"/>
  <sheetViews>
    <sheetView tabSelected="1" topLeftCell="BB213" zoomScaleNormal="100" workbookViewId="0">
      <selection activeCell="BI226" sqref="BI226"/>
    </sheetView>
  </sheetViews>
  <sheetFormatPr defaultRowHeight="14.4" x14ac:dyDescent="0.3"/>
  <cols>
    <col min="2" max="2" width="35.5546875" bestFit="1" customWidth="1"/>
    <col min="3" max="3" width="15" bestFit="1" customWidth="1"/>
    <col min="4" max="4" width="40.33203125" bestFit="1" customWidth="1"/>
    <col min="5" max="5" width="14.5546875" hidden="1" customWidth="1"/>
    <col min="6" max="6" width="13.88671875" bestFit="1" customWidth="1"/>
    <col min="7" max="8" width="10.6640625" customWidth="1"/>
    <col min="9" max="9" width="12.33203125" customWidth="1"/>
    <col min="10" max="10" width="35" bestFit="1" customWidth="1"/>
    <col min="11" max="12" width="12.6640625" bestFit="1" customWidth="1"/>
    <col min="13" max="13" width="12.6640625" customWidth="1"/>
    <col min="14" max="14" width="10.6640625" style="126" hidden="1" customWidth="1"/>
    <col min="15" max="15" width="12.6640625" customWidth="1"/>
    <col min="16" max="16" width="25.33203125" customWidth="1"/>
    <col min="17" max="20" width="10.6640625" customWidth="1"/>
    <col min="21" max="22" width="8.6640625" customWidth="1"/>
    <col min="23" max="24" width="10.6640625" customWidth="1"/>
    <col min="25" max="25" width="2.6640625" customWidth="1"/>
    <col min="26" max="27" width="8.6640625" customWidth="1"/>
    <col min="28" max="29" width="10.6640625" customWidth="1"/>
    <col min="30" max="30" width="2.6640625" customWidth="1"/>
    <col min="31" max="32" width="8.6640625" customWidth="1"/>
    <col min="33" max="33" width="14.6640625" customWidth="1"/>
    <col min="34" max="34" width="2.6640625" customWidth="1"/>
    <col min="35" max="36" width="8.6640625" customWidth="1"/>
    <col min="37" max="37" width="14.6640625" customWidth="1"/>
    <col min="38" max="38" width="2.6640625" customWidth="1"/>
    <col min="39" max="40" width="8.6640625" customWidth="1"/>
    <col min="41" max="41" width="14.6640625" customWidth="1"/>
    <col min="43" max="43" width="14" bestFit="1" customWidth="1"/>
    <col min="44" max="44" width="64.33203125" bestFit="1" customWidth="1"/>
    <col min="45" max="46" width="11.6640625" customWidth="1"/>
    <col min="47" max="47" width="14.6640625" customWidth="1"/>
    <col min="48" max="48" width="25.33203125" bestFit="1" customWidth="1"/>
    <col min="49" max="51" width="10.5546875" bestFit="1" customWidth="1"/>
    <col min="52" max="52" width="10.5546875" style="199" customWidth="1"/>
    <col min="54" max="54" width="43.44140625" bestFit="1" customWidth="1"/>
    <col min="56" max="56" width="10.109375" bestFit="1" customWidth="1"/>
    <col min="60" max="60" width="12.88671875" bestFit="1" customWidth="1"/>
    <col min="61" max="61" width="11.44140625" customWidth="1"/>
    <col min="62" max="62" width="11.6640625" bestFit="1" customWidth="1"/>
    <col min="63" max="63" width="10.5546875" bestFit="1" customWidth="1"/>
    <col min="65" max="65" width="12.6640625" customWidth="1"/>
    <col min="66" max="68" width="11.6640625" customWidth="1"/>
    <col min="70" max="70" width="23.5546875" customWidth="1"/>
    <col min="78" max="78" width="20.109375" customWidth="1"/>
    <col min="79" max="81" width="14" customWidth="1"/>
    <col min="84" max="84" width="39" customWidth="1"/>
    <col min="85" max="85" width="11.6640625" customWidth="1"/>
    <col min="86" max="86" width="9.5546875" bestFit="1" customWidth="1"/>
  </cols>
  <sheetData>
    <row r="1" spans="2:17" ht="15" thickBot="1" x14ac:dyDescent="0.35"/>
    <row r="2" spans="2:17" ht="15" thickBot="1" x14ac:dyDescent="0.35">
      <c r="B2" s="849" t="s">
        <v>58</v>
      </c>
      <c r="C2" s="850" t="s">
        <v>59</v>
      </c>
    </row>
    <row r="3" spans="2:17" ht="15" thickBot="1" x14ac:dyDescent="0.35">
      <c r="B3" s="851" t="s">
        <v>51</v>
      </c>
      <c r="C3" s="852">
        <f>E3/1000</f>
        <v>111769.43399999999</v>
      </c>
      <c r="E3" s="848">
        <f>'[7]1 CIN'!F5</f>
        <v>111769434</v>
      </c>
    </row>
    <row r="4" spans="2:17" ht="15" thickBot="1" x14ac:dyDescent="0.35">
      <c r="B4" s="853" t="s">
        <v>52</v>
      </c>
      <c r="C4" s="854">
        <f t="shared" ref="C4:C13" si="0">E4/1000</f>
        <v>14855</v>
      </c>
      <c r="E4" s="848">
        <f>'[7]1 CIN'!F6</f>
        <v>14855000</v>
      </c>
    </row>
    <row r="5" spans="2:17" ht="15" thickBot="1" x14ac:dyDescent="0.35">
      <c r="B5" s="853" t="s">
        <v>53</v>
      </c>
      <c r="C5" s="854">
        <f t="shared" si="0"/>
        <v>1612494.8832599998</v>
      </c>
      <c r="E5" s="848">
        <f>'[7]1 CIN'!F7</f>
        <v>1612494883.2599998</v>
      </c>
    </row>
    <row r="6" spans="2:17" ht="15" thickBot="1" x14ac:dyDescent="0.35">
      <c r="B6" s="853" t="s">
        <v>54</v>
      </c>
      <c r="C6" s="854">
        <f t="shared" si="0"/>
        <v>0</v>
      </c>
      <c r="E6" s="848">
        <f>'[7]1 CIN'!F8</f>
        <v>0</v>
      </c>
    </row>
    <row r="7" spans="2:17" ht="15" thickBot="1" x14ac:dyDescent="0.35">
      <c r="B7" s="853" t="s">
        <v>55</v>
      </c>
      <c r="C7" s="854">
        <f t="shared" si="0"/>
        <v>117938.42799999999</v>
      </c>
      <c r="E7" s="848">
        <f>'[7]1 CIN'!F9</f>
        <v>117938427.99999999</v>
      </c>
    </row>
    <row r="8" spans="2:17" ht="15" thickBot="1" x14ac:dyDescent="0.35">
      <c r="B8" s="853" t="s">
        <v>56</v>
      </c>
      <c r="C8" s="854">
        <f t="shared" si="0"/>
        <v>50938.944000000003</v>
      </c>
      <c r="E8" s="848">
        <f>'[7]1 CIN'!F10</f>
        <v>50938944</v>
      </c>
      <c r="L8" s="45"/>
      <c r="M8" s="45"/>
      <c r="N8" s="45"/>
      <c r="O8" s="45"/>
      <c r="P8" s="45"/>
    </row>
    <row r="9" spans="2:17" ht="15" thickBot="1" x14ac:dyDescent="0.35">
      <c r="B9" s="921" t="s">
        <v>60</v>
      </c>
      <c r="C9" s="922">
        <f t="shared" si="0"/>
        <v>1907996.6892599997</v>
      </c>
      <c r="E9" s="848">
        <f>'[7]1 CIN'!F11</f>
        <v>1907996689.2599998</v>
      </c>
      <c r="P9" s="46"/>
    </row>
    <row r="10" spans="2:17" ht="15" thickBot="1" x14ac:dyDescent="0.35">
      <c r="B10" s="855" t="s">
        <v>57</v>
      </c>
      <c r="C10" s="856">
        <f t="shared" si="0"/>
        <v>160370.13632599998</v>
      </c>
      <c r="E10" s="848">
        <f>'[7]1 CIN'!F12</f>
        <v>160370136.32599998</v>
      </c>
      <c r="F10" s="204"/>
      <c r="P10" s="46"/>
    </row>
    <row r="11" spans="2:17" ht="15" thickBot="1" x14ac:dyDescent="0.35">
      <c r="B11" s="921" t="s">
        <v>61</v>
      </c>
      <c r="C11" s="922">
        <f t="shared" si="0"/>
        <v>2068366.8255859995</v>
      </c>
      <c r="E11" s="848">
        <f>'[7]1 CIN'!F13</f>
        <v>2068366825.5859995</v>
      </c>
      <c r="P11" s="46"/>
    </row>
    <row r="12" spans="2:17" ht="15" thickBot="1" x14ac:dyDescent="0.35">
      <c r="B12" s="858">
        <v>210</v>
      </c>
      <c r="C12" s="857">
        <f t="shared" si="0"/>
        <v>431237.48337305989</v>
      </c>
      <c r="E12" s="848">
        <f>'[7]1 CIN'!F14</f>
        <v>431237483.37305987</v>
      </c>
      <c r="F12" s="419"/>
      <c r="P12" s="46"/>
    </row>
    <row r="13" spans="2:17" ht="15" thickBot="1" x14ac:dyDescent="0.35">
      <c r="B13" s="923" t="s">
        <v>62</v>
      </c>
      <c r="C13" s="924">
        <f t="shared" si="0"/>
        <v>2499604.3089590594</v>
      </c>
      <c r="E13" s="848">
        <f>'[7]1 CIN'!F15</f>
        <v>2499604308.9590592</v>
      </c>
    </row>
    <row r="14" spans="2:17" ht="15" thickBot="1" x14ac:dyDescent="0.35"/>
    <row r="15" spans="2:17" ht="40.200000000000003" thickBot="1" x14ac:dyDescent="0.35">
      <c r="D15" s="835" t="s">
        <v>74</v>
      </c>
      <c r="E15" s="836" t="s">
        <v>75</v>
      </c>
      <c r="F15" s="837" t="s">
        <v>80</v>
      </c>
      <c r="G15" s="838" t="s">
        <v>68</v>
      </c>
      <c r="H15" s="836" t="s">
        <v>118</v>
      </c>
      <c r="I15" s="837" t="s">
        <v>76</v>
      </c>
      <c r="J15" s="133"/>
      <c r="K15" s="133"/>
      <c r="L15" s="133"/>
      <c r="M15" s="133"/>
      <c r="N15" s="133"/>
      <c r="O15" s="133"/>
    </row>
    <row r="16" spans="2:17" x14ac:dyDescent="0.3">
      <c r="D16" s="301" t="s">
        <v>63</v>
      </c>
      <c r="E16" s="302">
        <f>E31/1000</f>
        <v>274882.23354050261</v>
      </c>
      <c r="F16" s="303">
        <f>F31/1000</f>
        <v>232855.79477000001</v>
      </c>
      <c r="G16" s="839" t="s">
        <v>69</v>
      </c>
      <c r="H16" s="840">
        <f>H31/1000</f>
        <v>13744.11167702513</v>
      </c>
      <c r="I16" s="841">
        <f>I31/1000</f>
        <v>0</v>
      </c>
      <c r="J16" s="133"/>
      <c r="K16" s="133">
        <f>E16/$E$29</f>
        <v>0.14678222169272631</v>
      </c>
      <c r="L16" s="845">
        <f t="shared" ref="L16:L27" si="1">G16*K16</f>
        <v>7.3391110846363159E-3</v>
      </c>
      <c r="M16" s="204">
        <f>C31</f>
        <v>20</v>
      </c>
      <c r="N16" s="133"/>
      <c r="O16" s="133">
        <f t="shared" ref="O16:O27" si="2">M16*K16</f>
        <v>2.9356444338545264</v>
      </c>
      <c r="P16" s="133"/>
      <c r="Q16" s="177"/>
    </row>
    <row r="17" spans="3:52" x14ac:dyDescent="0.3">
      <c r="D17" s="842" t="s">
        <v>64</v>
      </c>
      <c r="E17" s="302">
        <f>E32/1000</f>
        <v>120115.98620406628</v>
      </c>
      <c r="F17" s="303">
        <f>F32/1000</f>
        <v>101751.58675</v>
      </c>
      <c r="G17" s="843" t="s">
        <v>70</v>
      </c>
      <c r="H17" s="840">
        <f>H32/1000</f>
        <v>6005.7993102033151</v>
      </c>
      <c r="I17" s="841">
        <f>I32/1000</f>
        <v>0</v>
      </c>
      <c r="J17" s="133"/>
      <c r="K17" s="133">
        <f t="shared" ref="K17:K27" si="3">E17/$E$29</f>
        <v>6.4139799392483779E-2</v>
      </c>
      <c r="L17" s="845">
        <f t="shared" si="1"/>
        <v>3.8483879635490266E-3</v>
      </c>
      <c r="M17" s="204">
        <f>C32</f>
        <v>20</v>
      </c>
      <c r="N17" s="133"/>
      <c r="O17" s="133">
        <f t="shared" si="2"/>
        <v>1.2827959878496755</v>
      </c>
      <c r="P17" s="133"/>
    </row>
    <row r="18" spans="3:52" x14ac:dyDescent="0.3">
      <c r="D18" s="842" t="s">
        <v>65</v>
      </c>
      <c r="E18" s="302">
        <f>E34/1000</f>
        <v>119084.02094391191</v>
      </c>
      <c r="F18" s="303">
        <f>F34/1000</f>
        <v>100877.39751</v>
      </c>
      <c r="G18" s="843" t="s">
        <v>70</v>
      </c>
      <c r="H18" s="840">
        <f>H34/1000</f>
        <v>5954.2010471955955</v>
      </c>
      <c r="I18" s="841">
        <f>I34/1000</f>
        <v>0</v>
      </c>
      <c r="J18" s="133"/>
      <c r="K18" s="133">
        <f t="shared" si="3"/>
        <v>6.3588748305463072E-2</v>
      </c>
      <c r="L18" s="845">
        <f t="shared" si="1"/>
        <v>3.8153248983277843E-3</v>
      </c>
      <c r="M18" s="204">
        <f>C34</f>
        <v>20</v>
      </c>
      <c r="N18" s="133"/>
      <c r="O18" s="133">
        <f t="shared" si="2"/>
        <v>1.2717749661092614</v>
      </c>
      <c r="P18" s="133"/>
    </row>
    <row r="19" spans="3:52" x14ac:dyDescent="0.3">
      <c r="D19" s="842" t="s">
        <v>195</v>
      </c>
      <c r="E19" s="302">
        <f>E36/1000</f>
        <v>464001.76788611535</v>
      </c>
      <c r="F19" s="303">
        <f>F36/1000</f>
        <v>393061.05398000003</v>
      </c>
      <c r="G19" s="843" t="s">
        <v>71</v>
      </c>
      <c r="H19" s="840">
        <f>H36/1000</f>
        <v>15466.725596203845</v>
      </c>
      <c r="I19" s="841">
        <f>I36/1000</f>
        <v>0</v>
      </c>
      <c r="J19" s="133"/>
      <c r="K19" s="133">
        <f t="shared" si="3"/>
        <v>0.24776868800304419</v>
      </c>
      <c r="L19" s="845">
        <f t="shared" si="1"/>
        <v>8.9196727681095898E-3</v>
      </c>
      <c r="M19" s="204">
        <f>C36</f>
        <v>30</v>
      </c>
      <c r="N19" s="133"/>
      <c r="O19" s="133">
        <f t="shared" si="2"/>
        <v>7.4330606400913259</v>
      </c>
      <c r="P19" s="133"/>
    </row>
    <row r="20" spans="3:52" s="126" customFormat="1" x14ac:dyDescent="0.3">
      <c r="D20" s="842" t="s">
        <v>196</v>
      </c>
      <c r="E20" s="302">
        <f>E37/1000</f>
        <v>190044.81318810111</v>
      </c>
      <c r="F20" s="303">
        <f>F37/1000</f>
        <v>160989.07319999998</v>
      </c>
      <c r="G20" s="843" t="s">
        <v>71</v>
      </c>
      <c r="H20" s="840">
        <f>H37/1000</f>
        <v>3167.4135531350184</v>
      </c>
      <c r="I20" s="841">
        <f>I37/1000</f>
        <v>95022.406594050553</v>
      </c>
      <c r="J20" s="133"/>
      <c r="K20" s="133">
        <f t="shared" si="3"/>
        <v>0.10148054874859123</v>
      </c>
      <c r="L20" s="845">
        <f t="shared" si="1"/>
        <v>3.6532997549492841E-3</v>
      </c>
      <c r="M20" s="204">
        <f>C37</f>
        <v>60</v>
      </c>
      <c r="N20" s="133"/>
      <c r="O20" s="133">
        <f t="shared" si="2"/>
        <v>6.088832924915474</v>
      </c>
      <c r="P20" s="133"/>
      <c r="AZ20" s="199"/>
    </row>
    <row r="21" spans="3:52" x14ac:dyDescent="0.3">
      <c r="D21" s="842" t="s">
        <v>77</v>
      </c>
      <c r="E21" s="302">
        <f t="shared" ref="E21:F23" si="4">E44/1000</f>
        <v>401192.11571656092</v>
      </c>
      <c r="F21" s="303">
        <f t="shared" si="4"/>
        <v>339854.29963000002</v>
      </c>
      <c r="G21" s="843" t="s">
        <v>72</v>
      </c>
      <c r="H21" s="840">
        <f t="shared" ref="H21:I23" si="5">H44/1000</f>
        <v>5349.228209554145</v>
      </c>
      <c r="I21" s="841">
        <f t="shared" si="5"/>
        <v>240715.26942993657</v>
      </c>
      <c r="J21" s="133"/>
      <c r="K21" s="133">
        <f t="shared" si="3"/>
        <v>0.21422945132539933</v>
      </c>
      <c r="L21" s="845">
        <f t="shared" si="1"/>
        <v>4.2845890265079869E-3</v>
      </c>
      <c r="M21" s="204">
        <f>C44</f>
        <v>75</v>
      </c>
      <c r="N21" s="133"/>
      <c r="O21" s="133">
        <f t="shared" si="2"/>
        <v>16.067208849404949</v>
      </c>
      <c r="P21" s="133"/>
    </row>
    <row r="22" spans="3:52" s="126" customFormat="1" hidden="1" x14ac:dyDescent="0.3">
      <c r="D22" s="842" t="s">
        <v>197</v>
      </c>
      <c r="E22" s="302">
        <f t="shared" si="4"/>
        <v>0</v>
      </c>
      <c r="F22" s="303">
        <f t="shared" si="4"/>
        <v>0</v>
      </c>
      <c r="G22" s="843" t="s">
        <v>72</v>
      </c>
      <c r="H22" s="840">
        <f t="shared" si="5"/>
        <v>0</v>
      </c>
      <c r="I22" s="841">
        <f t="shared" si="5"/>
        <v>0</v>
      </c>
      <c r="J22" s="133"/>
      <c r="K22" s="133">
        <f t="shared" si="3"/>
        <v>0</v>
      </c>
      <c r="L22" s="845">
        <f t="shared" si="1"/>
        <v>0</v>
      </c>
      <c r="M22" s="204">
        <f>C45</f>
        <v>90</v>
      </c>
      <c r="N22" s="133"/>
      <c r="O22" s="133">
        <f t="shared" si="2"/>
        <v>0</v>
      </c>
      <c r="P22" s="133"/>
      <c r="AZ22" s="199"/>
    </row>
    <row r="23" spans="3:52" s="126" customFormat="1" x14ac:dyDescent="0.3">
      <c r="D23" s="842" t="s">
        <v>198</v>
      </c>
      <c r="E23" s="302">
        <f t="shared" si="4"/>
        <v>6931.4475522842858</v>
      </c>
      <c r="F23" s="303">
        <f t="shared" si="4"/>
        <v>5871.7062500000002</v>
      </c>
      <c r="G23" s="843" t="s">
        <v>72</v>
      </c>
      <c r="H23" s="840">
        <f t="shared" si="5"/>
        <v>346.57237761421425</v>
      </c>
      <c r="I23" s="841">
        <f t="shared" si="5"/>
        <v>0</v>
      </c>
      <c r="J23" s="133"/>
      <c r="K23" s="133">
        <f t="shared" si="3"/>
        <v>3.7012696607072139E-3</v>
      </c>
      <c r="L23" s="845">
        <f t="shared" si="1"/>
        <v>7.402539321414428E-5</v>
      </c>
      <c r="M23" s="204">
        <f>C46</f>
        <v>20</v>
      </c>
      <c r="N23" s="133"/>
      <c r="O23" s="133">
        <f t="shared" si="2"/>
        <v>7.4025393214144281E-2</v>
      </c>
      <c r="P23" s="133"/>
      <c r="AZ23" s="199"/>
    </row>
    <row r="24" spans="3:52" x14ac:dyDescent="0.3">
      <c r="D24" s="842" t="s">
        <v>66</v>
      </c>
      <c r="E24" s="302">
        <f t="shared" ref="E24:F27" si="6">E49/1000</f>
        <v>188557.61135492937</v>
      </c>
      <c r="F24" s="303">
        <f t="shared" si="6"/>
        <v>159729.24799999999</v>
      </c>
      <c r="G24" s="843" t="s">
        <v>73</v>
      </c>
      <c r="H24" s="840">
        <f t="shared" ref="H24:I27" si="7">H49/1000</f>
        <v>6285.2537118309783</v>
      </c>
      <c r="I24" s="841">
        <f t="shared" si="7"/>
        <v>0</v>
      </c>
      <c r="J24" s="133"/>
      <c r="K24" s="133">
        <f t="shared" si="3"/>
        <v>0.10068640943166707</v>
      </c>
      <c r="L24" s="845">
        <f t="shared" si="1"/>
        <v>3.3226515112450136E-3</v>
      </c>
      <c r="M24" s="204">
        <f>C49</f>
        <v>30</v>
      </c>
      <c r="N24" s="133"/>
      <c r="O24" s="133">
        <f t="shared" si="2"/>
        <v>3.020592282950012</v>
      </c>
      <c r="P24" s="133"/>
    </row>
    <row r="25" spans="3:52" s="126" customFormat="1" x14ac:dyDescent="0.3">
      <c r="D25" s="304" t="s">
        <v>199</v>
      </c>
      <c r="E25" s="302">
        <f t="shared" si="6"/>
        <v>50698.82585195401</v>
      </c>
      <c r="F25" s="303">
        <f t="shared" si="6"/>
        <v>42947.538789999999</v>
      </c>
      <c r="G25" s="839" t="s">
        <v>203</v>
      </c>
      <c r="H25" s="840">
        <f t="shared" si="7"/>
        <v>2534.9412925977008</v>
      </c>
      <c r="I25" s="841">
        <f t="shared" si="7"/>
        <v>0</v>
      </c>
      <c r="J25" s="133"/>
      <c r="K25" s="133">
        <f t="shared" si="3"/>
        <v>2.7072270913667252E-2</v>
      </c>
      <c r="L25" s="845">
        <f t="shared" si="1"/>
        <v>1.4889749002516988E-3</v>
      </c>
      <c r="M25" s="204">
        <f>C50</f>
        <v>20</v>
      </c>
      <c r="N25" s="133"/>
      <c r="O25" s="133">
        <f t="shared" si="2"/>
        <v>0.54144541827334502</v>
      </c>
      <c r="P25" s="133"/>
      <c r="AZ25" s="199"/>
    </row>
    <row r="26" spans="3:52" s="126" customFormat="1" x14ac:dyDescent="0.3">
      <c r="D26" s="842" t="s">
        <v>200</v>
      </c>
      <c r="E26" s="302">
        <f t="shared" si="6"/>
        <v>57212.753784184439</v>
      </c>
      <c r="F26" s="303">
        <f t="shared" si="6"/>
        <v>48465.559530000006</v>
      </c>
      <c r="G26" s="843" t="s">
        <v>72</v>
      </c>
      <c r="H26" s="840">
        <f t="shared" si="7"/>
        <v>1430.3188446046108</v>
      </c>
      <c r="I26" s="841">
        <f t="shared" si="7"/>
        <v>14303.188446046113</v>
      </c>
      <c r="J26" s="133"/>
      <c r="K26" s="133">
        <f t="shared" si="3"/>
        <v>3.0550592526250513E-2</v>
      </c>
      <c r="L26" s="845">
        <f t="shared" si="1"/>
        <v>6.1101185052501029E-4</v>
      </c>
      <c r="M26" s="204">
        <f>C51</f>
        <v>40</v>
      </c>
      <c r="N26" s="133"/>
      <c r="O26" s="133">
        <f t="shared" si="2"/>
        <v>1.2220237010500206</v>
      </c>
      <c r="P26" s="133"/>
      <c r="AZ26" s="199"/>
    </row>
    <row r="27" spans="3:52" s="126" customFormat="1" ht="15" thickBot="1" x14ac:dyDescent="0.35">
      <c r="D27" s="304" t="s">
        <v>201</v>
      </c>
      <c r="E27" s="302">
        <f t="shared" si="6"/>
        <v>20420.113237389807</v>
      </c>
      <c r="F27" s="303">
        <f t="shared" si="6"/>
        <v>17298.10485</v>
      </c>
      <c r="G27" s="768" t="s">
        <v>203</v>
      </c>
      <c r="H27" s="769">
        <f t="shared" si="7"/>
        <v>680.67044124632685</v>
      </c>
      <c r="I27" s="770">
        <f t="shared" si="7"/>
        <v>0</v>
      </c>
      <c r="J27" s="133"/>
      <c r="K27" s="133">
        <f t="shared" si="3"/>
        <v>1.0903977130844605E-2</v>
      </c>
      <c r="L27" s="845">
        <f t="shared" si="1"/>
        <v>5.9971874219645323E-4</v>
      </c>
      <c r="M27" s="204">
        <f>C52</f>
        <v>30</v>
      </c>
      <c r="N27" s="133"/>
      <c r="O27" s="133">
        <f t="shared" si="2"/>
        <v>0.32711931392533816</v>
      </c>
      <c r="P27" s="133"/>
      <c r="AZ27" s="199"/>
    </row>
    <row r="28" spans="3:52" s="126" customFormat="1" ht="15" hidden="1" thickBot="1" x14ac:dyDescent="0.35">
      <c r="D28" s="301" t="s">
        <v>67</v>
      </c>
      <c r="E28" s="302"/>
      <c r="F28" s="303"/>
      <c r="G28" s="771"/>
      <c r="H28" s="769"/>
      <c r="I28" s="770"/>
      <c r="J28" s="133"/>
      <c r="K28" s="133"/>
      <c r="L28" s="133"/>
      <c r="M28" s="133"/>
      <c r="N28" s="133"/>
      <c r="O28" s="133"/>
      <c r="P28" s="133"/>
      <c r="AZ28" s="199"/>
    </row>
    <row r="29" spans="3:52" ht="15" thickBot="1" x14ac:dyDescent="0.35">
      <c r="D29" s="30" t="s">
        <v>2</v>
      </c>
      <c r="E29" s="668">
        <f>SUM(E16:E26)</f>
        <v>1872721.5760226103</v>
      </c>
      <c r="F29" s="669">
        <f>SUM(F16:F27)</f>
        <v>1603701.3632599998</v>
      </c>
      <c r="G29" s="1254" t="s">
        <v>42</v>
      </c>
      <c r="H29" s="1255"/>
      <c r="I29" s="844">
        <f>SUM(I16:I28)</f>
        <v>350040.86447003321</v>
      </c>
      <c r="J29" s="133" t="s">
        <v>119</v>
      </c>
      <c r="K29" s="133"/>
      <c r="L29" s="846">
        <f>SUM(L16:L27)</f>
        <v>3.7956767893512315E-2</v>
      </c>
      <c r="M29" s="133"/>
      <c r="N29" s="133"/>
      <c r="O29" s="847">
        <f>SUM(O16:O27)</f>
        <v>40.264523911638072</v>
      </c>
      <c r="P29" s="133" t="s">
        <v>120</v>
      </c>
    </row>
    <row r="30" spans="3:52" ht="15" thickBot="1" x14ac:dyDescent="0.35">
      <c r="C30" s="133" t="s">
        <v>202</v>
      </c>
      <c r="D30" s="133"/>
      <c r="E30" s="133"/>
      <c r="F30" s="133"/>
      <c r="G30" s="133"/>
      <c r="H30" s="133"/>
      <c r="I30" s="133"/>
      <c r="L30" s="133"/>
      <c r="M30" s="133"/>
      <c r="N30" s="133"/>
      <c r="O30" s="133"/>
    </row>
    <row r="31" spans="3:52" ht="15.75" customHeight="1" thickBot="1" x14ac:dyDescent="0.35">
      <c r="C31" s="305">
        <v>20</v>
      </c>
      <c r="D31" s="823" t="s">
        <v>63</v>
      </c>
      <c r="E31" s="824">
        <f>F31*('[7]1 CIN'!$F$11-'[7]1 CIN'!$F$6)/$F$29/1000</f>
        <v>274882233.54050261</v>
      </c>
      <c r="F31" s="824">
        <f>'[7]2 ZH'!$D$3</f>
        <v>232855794.77000001</v>
      </c>
      <c r="G31" s="825"/>
      <c r="H31" s="824">
        <f>E31/C31</f>
        <v>13744111.67702513</v>
      </c>
      <c r="I31" s="826">
        <f>IF(C31&lt;30,0,E31-30*H31)</f>
        <v>0</v>
      </c>
      <c r="J31" s="30" t="s">
        <v>46</v>
      </c>
      <c r="K31" s="31">
        <v>2014</v>
      </c>
      <c r="L31" s="31">
        <v>2015</v>
      </c>
      <c r="M31" s="31">
        <v>2016</v>
      </c>
      <c r="N31" s="134"/>
      <c r="O31" s="32" t="s">
        <v>47</v>
      </c>
      <c r="P31" s="804" t="s">
        <v>193</v>
      </c>
      <c r="Q31" s="133" t="s">
        <v>117</v>
      </c>
      <c r="R31" s="133"/>
      <c r="S31" s="133"/>
      <c r="T31" s="251" t="s">
        <v>218</v>
      </c>
    </row>
    <row r="32" spans="3:52" x14ac:dyDescent="0.3">
      <c r="C32" s="305">
        <v>20</v>
      </c>
      <c r="D32" s="827" t="s">
        <v>64</v>
      </c>
      <c r="E32" s="824">
        <f>F32*('[7]1 CIN'!$F$11-'[7]1 CIN'!$F$6)/$F$29/1000</f>
        <v>120115986.20406629</v>
      </c>
      <c r="F32" s="824">
        <f>'[7]2 ZH'!$D$4</f>
        <v>101751586.75</v>
      </c>
      <c r="G32" s="828"/>
      <c r="H32" s="824">
        <f>E32/C32</f>
        <v>6005799.3102033148</v>
      </c>
      <c r="I32" s="826">
        <f>IF(C32&lt;30,0,E32-30*H32)</f>
        <v>0</v>
      </c>
      <c r="J32" s="773" t="s">
        <v>48</v>
      </c>
      <c r="K32" s="808">
        <f>K60*$K$167/$K$162+K84+K109*$K$169/$K$164+K132*$K$170/$K$165</f>
        <v>2819722.0084839882</v>
      </c>
      <c r="L32" s="808">
        <f>L60*$K$167/$K$162+L84+L109*$K$169/$K$164+L132*$K$170/$K$165</f>
        <v>2968965.3529989715</v>
      </c>
      <c r="M32" s="808">
        <f>M60*$K$167/$K$162+M84+M109*$K$169/$K$164+M132*$K$170/$K$165</f>
        <v>3149286.730268965</v>
      </c>
      <c r="N32" s="809"/>
      <c r="O32" s="776">
        <f t="shared" ref="O32:O40" si="8">SUM(K32:N32)/3</f>
        <v>2979324.6972506414</v>
      </c>
      <c r="P32" s="805">
        <f>O60*$K$167/$K$162+O84+O109*$K$169/$K$164+O132*$K$170/$K$165</f>
        <v>2979324.6972506414</v>
      </c>
      <c r="Q32" s="133"/>
      <c r="R32" s="133"/>
      <c r="S32" s="133"/>
      <c r="T32" s="250"/>
    </row>
    <row r="33" spans="3:20" s="199" customFormat="1" x14ac:dyDescent="0.3">
      <c r="C33" s="305"/>
      <c r="D33" s="827"/>
      <c r="E33" s="824">
        <f>F33*('[7]1 CIN'!$F$11-'[7]1 CIN'!$F$6)/$F$29/1000</f>
        <v>0</v>
      </c>
      <c r="F33" s="824"/>
      <c r="G33" s="828"/>
      <c r="H33" s="824"/>
      <c r="I33" s="826"/>
      <c r="J33" s="777" t="s">
        <v>254</v>
      </c>
      <c r="K33" s="774">
        <f>K61*2/26+K85+K110*1/14+K133*1/25</f>
        <v>74284.147654811211</v>
      </c>
      <c r="L33" s="774">
        <f>L61*2/26+L85+L110*1/14+L133*1/25</f>
        <v>75062.199601987377</v>
      </c>
      <c r="M33" s="774">
        <f>M61*2/26+M85+M110*1/14+M133*1/25</f>
        <v>47859.046190820758</v>
      </c>
      <c r="N33" s="775"/>
      <c r="O33" s="778">
        <f t="shared" si="8"/>
        <v>65735.131149206441</v>
      </c>
      <c r="P33" s="805">
        <f>O61*2/26+O85+O110*1/14+O133*1/25</f>
        <v>65735.131149206456</v>
      </c>
      <c r="Q33" s="806">
        <f>O33/($O$33+$O$36+$O$34+$O$46+$O$51+$O$35)</f>
        <v>7.555001011259087E-3</v>
      </c>
      <c r="R33" s="133"/>
      <c r="S33" s="133"/>
      <c r="T33" s="250"/>
    </row>
    <row r="34" spans="3:20" x14ac:dyDescent="0.3">
      <c r="C34" s="305">
        <v>20</v>
      </c>
      <c r="D34" s="827" t="s">
        <v>65</v>
      </c>
      <c r="E34" s="824">
        <f>F34*('[7]1 CIN'!$F$11-'[7]1 CIN'!$F$6)/$F$29/1000</f>
        <v>119084020.94391191</v>
      </c>
      <c r="F34" s="824">
        <f>'[7]2 ZH'!$D$5</f>
        <v>100877397.50999999</v>
      </c>
      <c r="G34" s="828"/>
      <c r="H34" s="824">
        <f>E34/C34</f>
        <v>5954201.0471955957</v>
      </c>
      <c r="I34" s="826">
        <f>IF(C34&lt;30,0,E34-30*H34)</f>
        <v>0</v>
      </c>
      <c r="J34" s="779" t="s">
        <v>212</v>
      </c>
      <c r="K34" s="810">
        <f t="shared" ref="K34:M35" si="9">K86</f>
        <v>462873.70391200064</v>
      </c>
      <c r="L34" s="810">
        <f t="shared" si="9"/>
        <v>497260.1658020477</v>
      </c>
      <c r="M34" s="810">
        <f t="shared" si="9"/>
        <v>482815.34210259444</v>
      </c>
      <c r="N34" s="810">
        <f>N62/28*2</f>
        <v>0</v>
      </c>
      <c r="O34" s="778">
        <f t="shared" si="8"/>
        <v>480983.07060554763</v>
      </c>
      <c r="P34" s="805">
        <f>O86</f>
        <v>480983.07060554763</v>
      </c>
      <c r="Q34" s="806">
        <f t="shared" ref="Q34:Q56" si="10">O34/($O$33+$O$36+$O$34+$O$46+$O$51+$O$35)</f>
        <v>5.5279840798907132E-2</v>
      </c>
      <c r="R34" s="133"/>
      <c r="S34" s="133"/>
      <c r="T34" s="252">
        <f>O34+O32*Q34</f>
        <v>645679.66555781523</v>
      </c>
    </row>
    <row r="35" spans="3:20" s="199" customFormat="1" x14ac:dyDescent="0.3">
      <c r="C35" s="305"/>
      <c r="D35" s="827"/>
      <c r="E35" s="824">
        <f>F35*('[7]1 CIN'!$F$11-'[7]1 CIN'!$F$6)/$F$29/1000</f>
        <v>0</v>
      </c>
      <c r="F35" s="824"/>
      <c r="G35" s="828"/>
      <c r="H35" s="824"/>
      <c r="I35" s="826"/>
      <c r="J35" s="779" t="s">
        <v>281</v>
      </c>
      <c r="K35" s="810">
        <f t="shared" si="9"/>
        <v>12678.863099676963</v>
      </c>
      <c r="L35" s="810">
        <f t="shared" si="9"/>
        <v>89577.789326729355</v>
      </c>
      <c r="M35" s="811">
        <f t="shared" si="9"/>
        <v>0</v>
      </c>
      <c r="N35" s="810"/>
      <c r="O35" s="778">
        <f t="shared" si="8"/>
        <v>34085.550808802109</v>
      </c>
      <c r="P35" s="805">
        <f>O87</f>
        <v>34085.550808802109</v>
      </c>
      <c r="Q35" s="806">
        <f t="shared" si="10"/>
        <v>3.9174847045685352E-3</v>
      </c>
      <c r="R35" s="133"/>
      <c r="S35" s="133"/>
      <c r="T35" s="252"/>
    </row>
    <row r="36" spans="3:20" x14ac:dyDescent="0.3">
      <c r="C36" s="305">
        <v>30</v>
      </c>
      <c r="D36" s="827" t="s">
        <v>195</v>
      </c>
      <c r="E36" s="824">
        <f>F36*('[7]1 CIN'!$F$11-'[7]1 CIN'!$F$6)/$F$29/1000</f>
        <v>464001767.88611537</v>
      </c>
      <c r="F36" s="824">
        <f>'[7]2 ZH'!$D$6</f>
        <v>393061053.98000002</v>
      </c>
      <c r="G36" s="828"/>
      <c r="H36" s="824">
        <f>E36/C36</f>
        <v>15466725.596203845</v>
      </c>
      <c r="I36" s="826">
        <f>IF(C36&lt;30,0,E36-30*H36)</f>
        <v>0</v>
      </c>
      <c r="J36" s="779" t="s">
        <v>49</v>
      </c>
      <c r="K36" s="810">
        <f>SUM(K37:K45)</f>
        <v>4007287.930164976</v>
      </c>
      <c r="L36" s="810">
        <f>SUM(L37:L45)</f>
        <v>4217818.9432254937</v>
      </c>
      <c r="M36" s="810">
        <f>SUM(M37:M45)</f>
        <v>4528962.9067050135</v>
      </c>
      <c r="N36" s="810"/>
      <c r="O36" s="778">
        <f t="shared" si="8"/>
        <v>4251356.5933651617</v>
      </c>
      <c r="P36" s="805">
        <f>SUM(O37:O45)</f>
        <v>4251356.5933651607</v>
      </c>
      <c r="Q36" s="806">
        <f t="shared" si="10"/>
        <v>0.48861244817771277</v>
      </c>
      <c r="R36" s="133"/>
      <c r="S36" s="133"/>
      <c r="T36" s="252">
        <f>O36+O32*Q36</f>
        <v>5707091.7276051203</v>
      </c>
    </row>
    <row r="37" spans="3:20" x14ac:dyDescent="0.3">
      <c r="C37" s="305">
        <v>60</v>
      </c>
      <c r="D37" s="827" t="s">
        <v>196</v>
      </c>
      <c r="E37" s="824">
        <f>F37*('[7]1 CIN'!$F$11-'[7]1 CIN'!$F$6)/$F$29/1000</f>
        <v>190044813.18810111</v>
      </c>
      <c r="F37" s="824">
        <f>'[7]2 ZH'!$D$7</f>
        <v>160989073.19999999</v>
      </c>
      <c r="G37" s="828"/>
      <c r="H37" s="824">
        <f>E37/C37</f>
        <v>3167413.5531350183</v>
      </c>
      <c r="I37" s="826">
        <f>IF(C37&lt;30,0,E37-30*H37)</f>
        <v>95022406.594050556</v>
      </c>
      <c r="J37" s="780" t="s">
        <v>78</v>
      </c>
      <c r="K37" s="812">
        <f>K64*$K$167/$K$162+K89+K113*$K$169/$K$164+K136*$K$170/$K$165</f>
        <v>3281303.2413019827</v>
      </c>
      <c r="L37" s="812">
        <f>L64*$K$167/$K$162+L89+L113*$K$169/$K$164+L136*$K$170/$K$165</f>
        <v>3641791.888228063</v>
      </c>
      <c r="M37" s="812">
        <f>M64*$K$167/$K$162+M89+M113*$K$169/$K$164+M136*$K$170/$K$165</f>
        <v>3804906.7814185699</v>
      </c>
      <c r="N37" s="813"/>
      <c r="O37" s="783">
        <f t="shared" si="8"/>
        <v>3576000.6369828717</v>
      </c>
      <c r="P37" s="133"/>
      <c r="Q37" s="803">
        <f t="shared" si="10"/>
        <v>0.41099314713993512</v>
      </c>
      <c r="R37" s="133"/>
      <c r="S37" s="133"/>
      <c r="T37" s="250"/>
    </row>
    <row r="38" spans="3:20" ht="15" customHeight="1" x14ac:dyDescent="0.3">
      <c r="C38" s="133"/>
      <c r="D38" s="23"/>
      <c r="E38" s="824"/>
      <c r="F38" s="824"/>
      <c r="G38" s="828"/>
      <c r="H38" s="824"/>
      <c r="I38" s="826"/>
      <c r="J38" s="785" t="s">
        <v>79</v>
      </c>
      <c r="K38" s="814">
        <f>K90</f>
        <v>380430.08519977814</v>
      </c>
      <c r="L38" s="814">
        <f>L90</f>
        <v>387263.65089806664</v>
      </c>
      <c r="M38" s="814">
        <f>M90</f>
        <v>502949.07928718679</v>
      </c>
      <c r="N38" s="815"/>
      <c r="O38" s="783">
        <f t="shared" si="8"/>
        <v>423547.60512834386</v>
      </c>
      <c r="P38" s="133"/>
      <c r="Q38" s="133">
        <f t="shared" si="10"/>
        <v>4.8678728240426301E-2</v>
      </c>
      <c r="R38" s="133"/>
      <c r="S38" s="133"/>
      <c r="T38" s="250"/>
    </row>
    <row r="39" spans="3:20" ht="15" customHeight="1" x14ac:dyDescent="0.3">
      <c r="C39" s="133"/>
      <c r="D39" s="23"/>
      <c r="E39" s="824"/>
      <c r="F39" s="824"/>
      <c r="G39" s="828"/>
      <c r="H39" s="824"/>
      <c r="I39" s="826"/>
      <c r="J39" s="785" t="s">
        <v>213</v>
      </c>
      <c r="K39" s="814">
        <f>K91</f>
        <v>155908.37261877686</v>
      </c>
      <c r="L39" s="816">
        <v>0</v>
      </c>
      <c r="M39" s="816">
        <v>0</v>
      </c>
      <c r="N39" s="814"/>
      <c r="O39" s="783">
        <f t="shared" si="8"/>
        <v>51969.457539592288</v>
      </c>
      <c r="P39" s="133"/>
      <c r="Q39" s="133">
        <f t="shared" si="10"/>
        <v>5.9728990785005188E-3</v>
      </c>
      <c r="R39" s="133"/>
      <c r="S39" s="133"/>
      <c r="T39" s="250"/>
    </row>
    <row r="40" spans="3:20" ht="15" customHeight="1" x14ac:dyDescent="0.3">
      <c r="C40" s="133"/>
      <c r="D40" s="23"/>
      <c r="E40" s="824"/>
      <c r="F40" s="824"/>
      <c r="G40" s="828"/>
      <c r="H40" s="824"/>
      <c r="I40" s="826"/>
      <c r="J40" s="785" t="s">
        <v>192</v>
      </c>
      <c r="K40" s="814">
        <f>K92</f>
        <v>1730.489932235565</v>
      </c>
      <c r="L40" s="814">
        <f>L92</f>
        <v>6486.8619645215522</v>
      </c>
      <c r="M40" s="814">
        <f>M92</f>
        <v>9839.3225771237703</v>
      </c>
      <c r="N40" s="805"/>
      <c r="O40" s="817">
        <f t="shared" si="8"/>
        <v>6018.8914912936298</v>
      </c>
      <c r="P40" s="133"/>
      <c r="Q40" s="133">
        <f t="shared" si="10"/>
        <v>6.9175691153893805E-4</v>
      </c>
      <c r="R40" s="133"/>
      <c r="S40" s="133"/>
      <c r="T40" s="250"/>
    </row>
    <row r="41" spans="3:20" ht="15" hidden="1" customHeight="1" x14ac:dyDescent="0.3">
      <c r="C41" s="133"/>
      <c r="D41" s="23"/>
      <c r="E41" s="824"/>
      <c r="F41" s="824"/>
      <c r="G41" s="828"/>
      <c r="H41" s="824"/>
      <c r="I41" s="826"/>
      <c r="J41" s="785" t="s">
        <v>114</v>
      </c>
      <c r="K41" s="814"/>
      <c r="L41" s="814"/>
      <c r="M41" s="805"/>
      <c r="N41" s="805"/>
      <c r="O41" s="783">
        <f>SUM(K41:N41)/(2+9/12)</f>
        <v>0</v>
      </c>
      <c r="P41" s="133"/>
      <c r="Q41" s="133">
        <f t="shared" si="10"/>
        <v>0</v>
      </c>
      <c r="R41" s="133"/>
      <c r="S41" s="133"/>
      <c r="T41" s="250"/>
    </row>
    <row r="42" spans="3:20" ht="15" hidden="1" customHeight="1" x14ac:dyDescent="0.3">
      <c r="C42" s="133"/>
      <c r="D42" s="23"/>
      <c r="E42" s="824"/>
      <c r="F42" s="824"/>
      <c r="G42" s="829"/>
      <c r="H42" s="824"/>
      <c r="I42" s="826"/>
      <c r="J42" s="785" t="s">
        <v>116</v>
      </c>
      <c r="K42" s="814"/>
      <c r="L42" s="814"/>
      <c r="M42" s="805"/>
      <c r="N42" s="805"/>
      <c r="O42" s="783">
        <f>SUM(K42:N42)/(2+9/12)</f>
        <v>0</v>
      </c>
      <c r="P42" s="133"/>
      <c r="Q42" s="133">
        <f t="shared" si="10"/>
        <v>0</v>
      </c>
      <c r="R42" s="133"/>
      <c r="S42" s="133"/>
      <c r="T42" s="250"/>
    </row>
    <row r="43" spans="3:20" ht="15" customHeight="1" x14ac:dyDescent="0.3">
      <c r="C43" s="133"/>
      <c r="D43" s="23"/>
      <c r="E43" s="824"/>
      <c r="F43" s="824"/>
      <c r="G43" s="830"/>
      <c r="H43" s="824"/>
      <c r="I43" s="826"/>
      <c r="J43" s="785" t="s">
        <v>115</v>
      </c>
      <c r="K43" s="814">
        <f t="shared" ref="K43:M45" si="11">K68*$K$167/$K$162+K93+K117*$K$169/$K$164+K140*$K$170/$K$165</f>
        <v>11182.409363930841</v>
      </c>
      <c r="L43" s="814">
        <f t="shared" si="11"/>
        <v>18368.709561361338</v>
      </c>
      <c r="M43" s="814">
        <f t="shared" si="11"/>
        <v>6181.888844407843</v>
      </c>
      <c r="N43" s="814"/>
      <c r="O43" s="783">
        <f>SUM(K43:N43)/3</f>
        <v>11911.002589900008</v>
      </c>
      <c r="P43" s="133"/>
      <c r="Q43" s="133">
        <f t="shared" si="10"/>
        <v>1.3689428322208575E-3</v>
      </c>
      <c r="R43" s="133"/>
      <c r="S43" s="133"/>
      <c r="T43" s="250"/>
    </row>
    <row r="44" spans="3:20" x14ac:dyDescent="0.3">
      <c r="C44" s="305">
        <v>75</v>
      </c>
      <c r="D44" s="827" t="s">
        <v>77</v>
      </c>
      <c r="E44" s="824">
        <f>F44*('[7]1 CIN'!$F$11-'[7]1 CIN'!$F$6)/$F$29/1000</f>
        <v>401192115.7165609</v>
      </c>
      <c r="F44" s="824">
        <f>'[7]2 ZH'!$D$9</f>
        <v>339854299.63</v>
      </c>
      <c r="G44" s="825"/>
      <c r="H44" s="824">
        <f t="shared" ref="H44:H52" si="12">E44/C44</f>
        <v>5349228.2095541451</v>
      </c>
      <c r="I44" s="831">
        <f t="shared" ref="I44:I52" si="13">IF(C44&lt;30,0,E44-30*H44)</f>
        <v>240715269.42993656</v>
      </c>
      <c r="J44" s="785" t="s">
        <v>114</v>
      </c>
      <c r="K44" s="814">
        <f t="shared" si="11"/>
        <v>23528.061461974565</v>
      </c>
      <c r="L44" s="814">
        <f t="shared" si="11"/>
        <v>23539.101677913481</v>
      </c>
      <c r="M44" s="814">
        <f t="shared" si="11"/>
        <v>53559.294049339835</v>
      </c>
      <c r="N44" s="814"/>
      <c r="O44" s="783">
        <f t="shared" ref="O44:O56" si="14">SUM(K44:N44)/3</f>
        <v>33542.152396409292</v>
      </c>
      <c r="P44" s="133"/>
      <c r="Q44" s="133">
        <f t="shared" si="10"/>
        <v>3.8550314093005016E-3</v>
      </c>
      <c r="R44" s="133"/>
      <c r="S44" s="133"/>
      <c r="T44" s="250"/>
    </row>
    <row r="45" spans="3:20" x14ac:dyDescent="0.3">
      <c r="C45" s="305">
        <v>90</v>
      </c>
      <c r="D45" s="827" t="s">
        <v>197</v>
      </c>
      <c r="E45" s="824">
        <f>F45*('[7]1 CIN'!$F$11-'[7]1 CIN'!$F$6)/$F$29/1000</f>
        <v>0</v>
      </c>
      <c r="F45" s="824">
        <v>0</v>
      </c>
      <c r="G45" s="828"/>
      <c r="H45" s="824">
        <f t="shared" si="12"/>
        <v>0</v>
      </c>
      <c r="I45" s="826">
        <f t="shared" si="13"/>
        <v>0</v>
      </c>
      <c r="J45" s="788" t="s">
        <v>116</v>
      </c>
      <c r="K45" s="814">
        <f t="shared" si="11"/>
        <v>153205.27028629754</v>
      </c>
      <c r="L45" s="814">
        <f t="shared" si="11"/>
        <v>140368.73089556702</v>
      </c>
      <c r="M45" s="814">
        <f t="shared" si="11"/>
        <v>151526.54052838561</v>
      </c>
      <c r="N45" s="818"/>
      <c r="O45" s="783">
        <f t="shared" si="14"/>
        <v>148366.84723675004</v>
      </c>
      <c r="P45" s="133"/>
      <c r="Q45" s="133">
        <f t="shared" si="10"/>
        <v>1.7051942565790418E-2</v>
      </c>
      <c r="R45" s="133"/>
      <c r="S45" s="133"/>
      <c r="T45" s="250"/>
    </row>
    <row r="46" spans="3:20" x14ac:dyDescent="0.3">
      <c r="C46" s="305">
        <v>20</v>
      </c>
      <c r="D46" s="827" t="s">
        <v>198</v>
      </c>
      <c r="E46" s="824">
        <f>F46*('[7]1 CIN'!$F$11-'[7]1 CIN'!$F$6)/$F$29/1000</f>
        <v>6931447.5522842854</v>
      </c>
      <c r="F46" s="824">
        <f>'[7]2 ZH'!$D$11</f>
        <v>5871706.25</v>
      </c>
      <c r="G46" s="828"/>
      <c r="H46" s="824">
        <f t="shared" si="12"/>
        <v>346572.37761421426</v>
      </c>
      <c r="I46" s="826">
        <f t="shared" si="13"/>
        <v>0</v>
      </c>
      <c r="J46" s="779" t="s">
        <v>211</v>
      </c>
      <c r="K46" s="810">
        <f>SUM(K47:K50)</f>
        <v>1709232.2812414793</v>
      </c>
      <c r="L46" s="810">
        <f>SUM(L47:L50)</f>
        <v>1712390.0487884358</v>
      </c>
      <c r="M46" s="810">
        <f>SUM(M47:M50)</f>
        <v>1725076.6704668419</v>
      </c>
      <c r="N46" s="810"/>
      <c r="O46" s="778">
        <f t="shared" si="14"/>
        <v>1715566.3334989191</v>
      </c>
      <c r="P46" s="805">
        <f>SUM(O47:O50)</f>
        <v>1715566.3334989189</v>
      </c>
      <c r="Q46" s="806">
        <f t="shared" si="10"/>
        <v>0.19717166692870963</v>
      </c>
      <c r="R46" s="133"/>
      <c r="S46" s="322"/>
      <c r="T46" s="250"/>
    </row>
    <row r="47" spans="3:20" s="199" customFormat="1" x14ac:dyDescent="0.3">
      <c r="C47" s="305"/>
      <c r="D47" s="827"/>
      <c r="E47" s="824"/>
      <c r="F47" s="824"/>
      <c r="G47" s="828"/>
      <c r="H47" s="824"/>
      <c r="I47" s="826"/>
      <c r="J47" s="780" t="s">
        <v>214</v>
      </c>
      <c r="K47" s="814">
        <f>K97</f>
        <v>1423154.3016294499</v>
      </c>
      <c r="L47" s="814">
        <f>L97</f>
        <v>1422131.0741474698</v>
      </c>
      <c r="M47" s="814">
        <f>M97</f>
        <v>1414390.632821921</v>
      </c>
      <c r="N47" s="812"/>
      <c r="O47" s="783">
        <f t="shared" si="14"/>
        <v>1419892.0028662803</v>
      </c>
      <c r="P47" s="805"/>
      <c r="Q47" s="133">
        <f t="shared" si="10"/>
        <v>0.16318953548878617</v>
      </c>
      <c r="R47" s="133"/>
      <c r="S47" s="322"/>
      <c r="T47" s="252">
        <f>O47+O32*Q47+O50+O32*Q50</f>
        <v>1963212.8429879041</v>
      </c>
    </row>
    <row r="48" spans="3:20" s="199" customFormat="1" x14ac:dyDescent="0.3">
      <c r="C48" s="305"/>
      <c r="D48" s="827"/>
      <c r="E48" s="824"/>
      <c r="F48" s="824"/>
      <c r="G48" s="828"/>
      <c r="H48" s="824"/>
      <c r="I48" s="826"/>
      <c r="J48" s="785" t="s">
        <v>258</v>
      </c>
      <c r="K48" s="814">
        <f>K72*$K$167/$K$162+K121*$K$169/$K$164</f>
        <v>30764.378487651869</v>
      </c>
      <c r="L48" s="814">
        <f>L72*$K$167/$K$162+L121*$K$169/$K$164</f>
        <v>32425.406719174818</v>
      </c>
      <c r="M48" s="814">
        <f>M72*$K$167/$K$162+M121*$K$169/$K$164</f>
        <v>37097.724296697612</v>
      </c>
      <c r="N48" s="812"/>
      <c r="O48" s="783">
        <f t="shared" si="14"/>
        <v>33429.169834508102</v>
      </c>
      <c r="P48" s="805"/>
      <c r="Q48" s="133">
        <f t="shared" si="10"/>
        <v>3.8420462162310509E-3</v>
      </c>
      <c r="R48" s="133"/>
      <c r="S48" s="322"/>
      <c r="T48" s="252"/>
    </row>
    <row r="49" spans="3:52" x14ac:dyDescent="0.3">
      <c r="C49" s="305">
        <v>30</v>
      </c>
      <c r="D49" s="827" t="s">
        <v>66</v>
      </c>
      <c r="E49" s="824">
        <f>F49*('[7]1 CIN'!$F$11-'[7]1 CIN'!$F$6)/$F$29/1000</f>
        <v>188557611.35492936</v>
      </c>
      <c r="F49" s="824">
        <f>'[7]2 ZH'!$D$12</f>
        <v>159729248</v>
      </c>
      <c r="G49" s="828"/>
      <c r="H49" s="824">
        <f t="shared" si="12"/>
        <v>6285253.7118309783</v>
      </c>
      <c r="I49" s="826">
        <f t="shared" si="13"/>
        <v>0</v>
      </c>
      <c r="J49" s="785" t="s">
        <v>143</v>
      </c>
      <c r="K49" s="814">
        <f>K73*$K$167/$K$162+K98+K122*$K$169/$K$164+K145*$K$170/$K$165</f>
        <v>207295.40196925538</v>
      </c>
      <c r="L49" s="814">
        <f>L73*$K$167/$K$162+L98+L122*$K$169/$K$164+L145*$K$170/$K$165</f>
        <v>214477.9324901198</v>
      </c>
      <c r="M49" s="814">
        <f>M73*$K$167/$K$162+M98+M122*$K$169/$K$164+M145*$K$170/$K$165</f>
        <v>237297.84596300888</v>
      </c>
      <c r="N49" s="812"/>
      <c r="O49" s="783">
        <f t="shared" si="14"/>
        <v>219690.39347412801</v>
      </c>
      <c r="P49" s="133"/>
      <c r="Q49" s="133">
        <f t="shared" si="10"/>
        <v>2.5249225427018573E-2</v>
      </c>
      <c r="R49" s="133"/>
      <c r="S49" s="133"/>
      <c r="T49" s="252">
        <f>O49+O32*Q49</f>
        <v>294916.0343752933</v>
      </c>
    </row>
    <row r="50" spans="3:52" x14ac:dyDescent="0.3">
      <c r="C50" s="305">
        <v>20</v>
      </c>
      <c r="D50" s="832" t="s">
        <v>199</v>
      </c>
      <c r="E50" s="824">
        <f>F50*('[7]1 CIN'!$F$11-'[7]1 CIN'!$F$6)/$F$29/1000</f>
        <v>50698825.851954013</v>
      </c>
      <c r="F50" s="824">
        <f>'[7]2 ZH'!$D$13</f>
        <v>42947538.789999999</v>
      </c>
      <c r="G50" s="828"/>
      <c r="H50" s="824">
        <f t="shared" si="12"/>
        <v>2534941.2925977008</v>
      </c>
      <c r="I50" s="826">
        <f t="shared" si="13"/>
        <v>0</v>
      </c>
      <c r="J50" s="788" t="s">
        <v>191</v>
      </c>
      <c r="K50" s="814">
        <f>K99</f>
        <v>48018.199155121925</v>
      </c>
      <c r="L50" s="814">
        <f>L99</f>
        <v>43355.635431671537</v>
      </c>
      <c r="M50" s="814">
        <f>M99</f>
        <v>36290.46738521423</v>
      </c>
      <c r="N50" s="812"/>
      <c r="O50" s="819">
        <f t="shared" si="14"/>
        <v>42554.767324002569</v>
      </c>
      <c r="P50" s="133"/>
      <c r="Q50" s="133">
        <f t="shared" si="10"/>
        <v>4.8908597966738181E-3</v>
      </c>
      <c r="R50" s="133"/>
      <c r="S50" s="133"/>
      <c r="T50" s="250"/>
    </row>
    <row r="51" spans="3:52" x14ac:dyDescent="0.3">
      <c r="C51" s="305">
        <v>40</v>
      </c>
      <c r="D51" s="832" t="s">
        <v>200</v>
      </c>
      <c r="E51" s="824">
        <f>F51*('[7]1 CIN'!$F$11-'[7]1 CIN'!$F$6)/$F$29/1000</f>
        <v>57212753.784184441</v>
      </c>
      <c r="F51" s="824">
        <f>'[7]2 ZH'!$D$14</f>
        <v>48465559.530000009</v>
      </c>
      <c r="G51" s="825"/>
      <c r="H51" s="824">
        <f t="shared" si="12"/>
        <v>1430318.8446046109</v>
      </c>
      <c r="I51" s="826">
        <f t="shared" si="13"/>
        <v>14303188.446046114</v>
      </c>
      <c r="J51" s="779" t="s">
        <v>50</v>
      </c>
      <c r="K51" s="810">
        <f>SUM(K52:K56)</f>
        <v>2105748.0922212675</v>
      </c>
      <c r="L51" s="810">
        <f>SUM(L52:L56)</f>
        <v>2146474.5545931738</v>
      </c>
      <c r="M51" s="810">
        <f>SUM(M52:M56)</f>
        <v>2207226.9709050152</v>
      </c>
      <c r="N51" s="810"/>
      <c r="O51" s="778">
        <f t="shared" si="14"/>
        <v>2153149.8725731522</v>
      </c>
      <c r="P51" s="805">
        <f>SUM(O52:O56)</f>
        <v>2153149.8725731522</v>
      </c>
      <c r="Q51" s="806">
        <f t="shared" si="10"/>
        <v>0.24746355837884285</v>
      </c>
      <c r="R51" s="133"/>
      <c r="S51" s="133"/>
      <c r="T51" s="252">
        <f>O52+O32*Q52+O56+O32*Q56</f>
        <v>1395786.5238864827</v>
      </c>
    </row>
    <row r="52" spans="3:52" s="126" customFormat="1" x14ac:dyDescent="0.3">
      <c r="C52" s="305">
        <v>30</v>
      </c>
      <c r="D52" s="832" t="s">
        <v>201</v>
      </c>
      <c r="E52" s="824">
        <f>F52*('[7]1 CIN'!$F$11-'[7]1 CIN'!$F$6)/$F$29/1000</f>
        <v>20420113.237389807</v>
      </c>
      <c r="F52" s="824">
        <f>'[7]2 ZH'!$D$15</f>
        <v>17298104.850000001</v>
      </c>
      <c r="G52" s="828"/>
      <c r="H52" s="824">
        <f t="shared" si="12"/>
        <v>680670.4412463269</v>
      </c>
      <c r="I52" s="826">
        <f t="shared" si="13"/>
        <v>0</v>
      </c>
      <c r="J52" s="780" t="s">
        <v>194</v>
      </c>
      <c r="K52" s="812">
        <f>K101</f>
        <v>60570.590595379603</v>
      </c>
      <c r="L52" s="812">
        <f>L101</f>
        <v>38779.408000847412</v>
      </c>
      <c r="M52" s="812">
        <f>M101</f>
        <v>75783.752879549997</v>
      </c>
      <c r="N52" s="812"/>
      <c r="O52" s="783">
        <f t="shared" si="14"/>
        <v>58377.91715859234</v>
      </c>
      <c r="P52" s="805"/>
      <c r="Q52" s="133">
        <f t="shared" si="10"/>
        <v>6.7094294246903422E-3</v>
      </c>
      <c r="R52" s="133"/>
      <c r="S52" s="133"/>
      <c r="T52" s="250"/>
      <c r="AZ52" s="199"/>
    </row>
    <row r="53" spans="3:52" s="199" customFormat="1" x14ac:dyDescent="0.3">
      <c r="C53" s="305"/>
      <c r="D53" s="832"/>
      <c r="E53" s="824"/>
      <c r="F53" s="824"/>
      <c r="G53" s="830"/>
      <c r="H53" s="833"/>
      <c r="I53" s="834"/>
      <c r="J53" s="785" t="s">
        <v>259</v>
      </c>
      <c r="K53" s="814">
        <f>K77*$K$167/$K$162+K102+K126*$K$169/$K$164</f>
        <v>112019.57921595026</v>
      </c>
      <c r="L53" s="814">
        <f>L77*$K$167/$K$162+L102+L126*$K$169/$K$164+L149*$K$170/$K$165</f>
        <v>126989.40822958623</v>
      </c>
      <c r="M53" s="814">
        <f>M77*$K$167/$K$162+M102+M126*$K$169/$K$164+M149*$K$170/$K$165</f>
        <v>123114.75981899125</v>
      </c>
      <c r="N53" s="820"/>
      <c r="O53" s="783">
        <f>SUM(K53:N53)/3</f>
        <v>120707.91575484257</v>
      </c>
      <c r="P53" s="805"/>
      <c r="Q53" s="133">
        <f t="shared" si="10"/>
        <v>1.3873075319875154E-2</v>
      </c>
      <c r="R53" s="133"/>
      <c r="S53" s="133"/>
      <c r="T53" s="250"/>
    </row>
    <row r="54" spans="3:52" s="199" customFormat="1" x14ac:dyDescent="0.3">
      <c r="C54" s="305"/>
      <c r="D54" s="832"/>
      <c r="E54" s="824"/>
      <c r="F54" s="824"/>
      <c r="G54" s="830"/>
      <c r="H54" s="833"/>
      <c r="I54" s="834"/>
      <c r="J54" s="785" t="s">
        <v>262</v>
      </c>
      <c r="K54" s="814">
        <f>K103</f>
        <v>26012.600408506631</v>
      </c>
      <c r="L54" s="814">
        <f>L103</f>
        <v>43093.73912329103</v>
      </c>
      <c r="M54" s="814">
        <f>M103</f>
        <v>29937.424196587326</v>
      </c>
      <c r="N54" s="820"/>
      <c r="O54" s="783">
        <f>SUM(K54:N54)/3</f>
        <v>33014.587909461661</v>
      </c>
      <c r="P54" s="805"/>
      <c r="Q54" s="133">
        <f t="shared" si="10"/>
        <v>3.7943979221116372E-3</v>
      </c>
      <c r="R54" s="133"/>
      <c r="S54" s="133"/>
      <c r="T54" s="250"/>
    </row>
    <row r="55" spans="3:52" s="199" customFormat="1" x14ac:dyDescent="0.3">
      <c r="C55" s="305"/>
      <c r="D55" s="832"/>
      <c r="E55" s="824"/>
      <c r="F55" s="824"/>
      <c r="G55" s="830"/>
      <c r="H55" s="833"/>
      <c r="I55" s="834"/>
      <c r="J55" s="785" t="s">
        <v>263</v>
      </c>
      <c r="K55" s="814">
        <f>K79*$K$167/$K$162+K104+K127*$K$169/$K$164</f>
        <v>964731.78898346622</v>
      </c>
      <c r="L55" s="814">
        <f>L79*$K$167/$K$162+L104+L127*$K$169/$K$164</f>
        <v>945295.25034252612</v>
      </c>
      <c r="M55" s="814">
        <f>M79*$K$167/$K$162+M104+M127*$K$169/$K$164</f>
        <v>968985.29333028442</v>
      </c>
      <c r="N55" s="820"/>
      <c r="O55" s="783">
        <f>SUM(K55:N55)/3</f>
        <v>959670.77755209233</v>
      </c>
      <c r="P55" s="805"/>
      <c r="Q55" s="133">
        <f t="shared" si="10"/>
        <v>0.11029587327398796</v>
      </c>
      <c r="R55" s="133"/>
      <c r="S55" s="133"/>
      <c r="T55" s="250"/>
    </row>
    <row r="56" spans="3:52" s="78" customFormat="1" ht="15" thickBot="1" x14ac:dyDescent="0.35">
      <c r="C56" s="306"/>
      <c r="D56" s="997" t="s">
        <v>67</v>
      </c>
      <c r="E56" s="996">
        <f>'[7]1 CIN'!$F$6</f>
        <v>14855000</v>
      </c>
      <c r="F56" s="996">
        <f>E56</f>
        <v>14855000</v>
      </c>
      <c r="G56" s="133"/>
      <c r="H56" s="133"/>
      <c r="I56" s="133"/>
      <c r="J56" s="799" t="s">
        <v>144</v>
      </c>
      <c r="K56" s="821">
        <f>K80*$K$167/$K$162+K105+K128*$K$169/$K$164+K149*$K$170/$K$165</f>
        <v>942413.53301796492</v>
      </c>
      <c r="L56" s="821">
        <f>L80*$K$167/$K$162+L105+L128*$K$169/$K$164+L149*$K$170/$K$165</f>
        <v>992316.74889692268</v>
      </c>
      <c r="M56" s="821">
        <f>M80*$K$167/$K$162+M105+M128*$K$169/$K$164+M149*$K$170/$K$165</f>
        <v>1009405.740679602</v>
      </c>
      <c r="N56" s="822"/>
      <c r="O56" s="801">
        <f t="shared" si="14"/>
        <v>981378.67419816321</v>
      </c>
      <c r="P56" s="133"/>
      <c r="Q56" s="133">
        <f t="shared" si="10"/>
        <v>0.11279078243817775</v>
      </c>
      <c r="R56" s="133"/>
      <c r="S56" s="133"/>
      <c r="T56" s="250"/>
      <c r="AZ56" s="199"/>
    </row>
    <row r="57" spans="3:52" s="78" customFormat="1" ht="15" thickBot="1" x14ac:dyDescent="0.35">
      <c r="E57" s="74"/>
      <c r="J57" s="779" t="s">
        <v>937</v>
      </c>
      <c r="K57" s="774">
        <f>SUM(K32:K36,K46,K51)</f>
        <v>11191827.026778199</v>
      </c>
      <c r="L57" s="774">
        <f t="shared" ref="L57:M57" si="15">SUM(L32:L36,L46,L51)</f>
        <v>11707549.054336838</v>
      </c>
      <c r="M57" s="774">
        <f t="shared" si="15"/>
        <v>12141227.66663925</v>
      </c>
      <c r="N57" s="1066"/>
      <c r="O57" s="778">
        <f>AVERAGE(K57:M57)</f>
        <v>11680201.249251431</v>
      </c>
      <c r="P57" s="807">
        <f>SUM(P32:P56)</f>
        <v>11680201.249251429</v>
      </c>
      <c r="Q57" s="133"/>
      <c r="AZ57" s="199"/>
    </row>
    <row r="58" spans="3:52" s="199" customFormat="1" ht="15" thickBot="1" x14ac:dyDescent="0.35">
      <c r="E58" s="319"/>
      <c r="J58" s="1269" t="s">
        <v>253</v>
      </c>
      <c r="K58" s="1270"/>
      <c r="L58" s="1270"/>
      <c r="M58" s="1270"/>
      <c r="N58" s="1270"/>
      <c r="O58" s="1271"/>
    </row>
    <row r="59" spans="3:52" ht="15" thickBot="1" x14ac:dyDescent="0.35">
      <c r="E59" s="17"/>
      <c r="I59" s="308" t="s">
        <v>253</v>
      </c>
      <c r="J59" s="30" t="s">
        <v>46</v>
      </c>
      <c r="K59" s="31">
        <v>2014</v>
      </c>
      <c r="L59" s="31">
        <v>2015</v>
      </c>
      <c r="M59" s="31">
        <v>2016</v>
      </c>
      <c r="N59" s="134"/>
      <c r="O59" s="32" t="s">
        <v>47</v>
      </c>
    </row>
    <row r="60" spans="3:52" x14ac:dyDescent="0.3">
      <c r="E60" s="17"/>
      <c r="J60" s="773" t="s">
        <v>48</v>
      </c>
      <c r="K60" s="774">
        <f>1564121.73*$U$69*$V$69*$W$69*$X$69*$Y$69*$Z$69</f>
        <v>1709593.5591293012</v>
      </c>
      <c r="L60" s="774">
        <f>1601233.01*$V$69*$W$69*$X$69*$Y$69*$Z$69</f>
        <v>1744921.6251653379</v>
      </c>
      <c r="M60" s="775">
        <f>1703641.34*$W$69*$X$69*$Y$69*$Z$69</f>
        <v>1843614.3919720326</v>
      </c>
      <c r="N60" s="775"/>
      <c r="O60" s="776">
        <f>SUM(K60:N60)/3</f>
        <v>1766043.1920888906</v>
      </c>
      <c r="P60" s="133"/>
    </row>
    <row r="61" spans="3:52" s="199" customFormat="1" x14ac:dyDescent="0.3">
      <c r="E61" s="288"/>
      <c r="I61" s="307"/>
      <c r="J61" s="777" t="s">
        <v>254</v>
      </c>
      <c r="K61" s="774">
        <f>81236.54*$U$69*$V$69*$W$69*$X$69*$Y$69*$Z$69</f>
        <v>88791.980116502717</v>
      </c>
      <c r="L61" s="774">
        <f>48492.58*$V$69*$W$69*$X$69*$Y$69*$Z$69</f>
        <v>52844.121357490731</v>
      </c>
      <c r="M61" s="775">
        <f>43330.25*$W$69*$X$69*$Y$69*$Z$69</f>
        <v>46890.311142453349</v>
      </c>
      <c r="N61" s="775"/>
      <c r="O61" s="778">
        <f>SUM(K61:N61)/3</f>
        <v>62842.137538815594</v>
      </c>
      <c r="P61" s="133"/>
    </row>
    <row r="62" spans="3:52" hidden="1" x14ac:dyDescent="0.3">
      <c r="E62" s="17"/>
      <c r="J62" s="779" t="s">
        <v>212</v>
      </c>
      <c r="K62" s="774"/>
      <c r="L62" s="774"/>
      <c r="M62" s="775"/>
      <c r="N62" s="775"/>
      <c r="O62" s="778">
        <f>SUM(K62:N62)/3</f>
        <v>0</v>
      </c>
      <c r="P62" s="133"/>
      <c r="Q62" s="133"/>
      <c r="R62" s="133"/>
      <c r="S62" s="133"/>
      <c r="T62" s="232"/>
    </row>
    <row r="63" spans="3:52" x14ac:dyDescent="0.3">
      <c r="D63" s="16"/>
      <c r="E63" s="17"/>
      <c r="J63" s="779" t="s">
        <v>49</v>
      </c>
      <c r="K63" s="774">
        <f>SUM(K64:K70)</f>
        <v>2521261.1692653648</v>
      </c>
      <c r="L63" s="774">
        <f>SUM(L64:L70)</f>
        <v>2546152.2376640597</v>
      </c>
      <c r="M63" s="775">
        <f>SUM(M64:M70)</f>
        <v>2504860.7529518078</v>
      </c>
      <c r="N63" s="775">
        <f>SUM(N64:N70)</f>
        <v>0</v>
      </c>
      <c r="O63" s="778">
        <f>SUM(K63:N63)/3</f>
        <v>2524091.3866270776</v>
      </c>
      <c r="P63" s="133"/>
    </row>
    <row r="64" spans="3:52" x14ac:dyDescent="0.3">
      <c r="D64" s="16"/>
      <c r="E64" s="17"/>
      <c r="J64" s="780" t="s">
        <v>78</v>
      </c>
      <c r="K64" s="781">
        <f>(1746796.67+505253.17)*$U$69*$V$69*$W$69*$X$69*$Y$69*$Z$69</f>
        <v>2461502.7254318455</v>
      </c>
      <c r="L64" s="781">
        <f>(3065229.19+1221255.29-2000000)*$V$69*$W$69*$X$69*$Y$69*$Z$69</f>
        <v>2491664.9793254789</v>
      </c>
      <c r="M64" s="781">
        <f>(6425993.67+803265.06-5000000)*$W$69*$X$69*$Y$69*$Z$69</f>
        <v>2412417.0866018645</v>
      </c>
      <c r="N64" s="782"/>
      <c r="O64" s="783"/>
      <c r="P64" s="784" t="s">
        <v>256</v>
      </c>
      <c r="Q64" s="133"/>
      <c r="R64" s="133"/>
      <c r="S64" s="133"/>
    </row>
    <row r="65" spans="4:52" hidden="1" x14ac:dyDescent="0.3">
      <c r="D65" s="16"/>
      <c r="E65" s="17"/>
      <c r="J65" s="785" t="s">
        <v>79</v>
      </c>
      <c r="K65" s="786"/>
      <c r="L65" s="786">
        <v>0</v>
      </c>
      <c r="M65" s="786">
        <v>0</v>
      </c>
      <c r="N65" s="787"/>
      <c r="O65" s="783"/>
      <c r="P65" s="133"/>
    </row>
    <row r="66" spans="4:52" s="199" customFormat="1" hidden="1" x14ac:dyDescent="0.3">
      <c r="D66" s="200"/>
      <c r="E66" s="219"/>
      <c r="J66" s="785" t="s">
        <v>213</v>
      </c>
      <c r="K66" s="786"/>
      <c r="L66" s="786"/>
      <c r="M66" s="786"/>
      <c r="N66" s="787"/>
      <c r="O66" s="783"/>
      <c r="P66" s="133" t="s">
        <v>257</v>
      </c>
    </row>
    <row r="67" spans="4:52" s="78" customFormat="1" ht="15" hidden="1" customHeight="1" x14ac:dyDescent="0.3">
      <c r="D67" s="67"/>
      <c r="E67" s="68"/>
      <c r="J67" s="785" t="s">
        <v>192</v>
      </c>
      <c r="K67" s="786">
        <v>0</v>
      </c>
      <c r="L67" s="786">
        <v>0</v>
      </c>
      <c r="M67" s="786">
        <v>0</v>
      </c>
      <c r="N67" s="787"/>
      <c r="O67" s="783"/>
      <c r="P67" s="133"/>
      <c r="Q67" s="133"/>
      <c r="AZ67" s="199"/>
    </row>
    <row r="68" spans="4:52" s="78" customFormat="1" x14ac:dyDescent="0.3">
      <c r="D68" s="67"/>
      <c r="E68" s="68"/>
      <c r="J68" s="785" t="s">
        <v>115</v>
      </c>
      <c r="K68" s="786">
        <f>571.04*$U$69*$V$69*$W$69*$X$69*$Y$69*$Z$69</f>
        <v>624.14982624478705</v>
      </c>
      <c r="L68" s="786">
        <f>214.87*$V$69*$W$69*$X$69*$Y$69*$Z$69</f>
        <v>234.15162394090052</v>
      </c>
      <c r="M68" s="786">
        <v>0</v>
      </c>
      <c r="N68" s="787"/>
      <c r="O68" s="783"/>
      <c r="P68" s="133"/>
      <c r="T68" s="336" t="s">
        <v>95</v>
      </c>
      <c r="U68" s="336">
        <v>2015</v>
      </c>
      <c r="V68" s="336">
        <v>2016</v>
      </c>
      <c r="W68" s="336">
        <v>2017</v>
      </c>
      <c r="X68" s="336">
        <v>2018</v>
      </c>
      <c r="Y68" s="336">
        <v>2019</v>
      </c>
      <c r="Z68" s="336">
        <v>2020</v>
      </c>
      <c r="AZ68" s="199"/>
    </row>
    <row r="69" spans="4:52" s="78" customFormat="1" x14ac:dyDescent="0.3">
      <c r="D69" s="67"/>
      <c r="E69" s="68"/>
      <c r="J69" s="785" t="s">
        <v>114</v>
      </c>
      <c r="K69" s="786">
        <f>36016.12*$U$69*$V$69*$W$69*$X$69*$Y$69*$Z$69</f>
        <v>39365.815074270475</v>
      </c>
      <c r="L69" s="786">
        <f>30776.98*$V$69*$W$69*$X$69*$Y$69*$Z$69</f>
        <v>33538.790184747129</v>
      </c>
      <c r="M69" s="786">
        <f>66232.83*$W$69*$X$69*$Y$69*$Z$69</f>
        <v>71674.592381655297</v>
      </c>
      <c r="N69" s="787"/>
      <c r="O69" s="783"/>
      <c r="P69" s="133"/>
      <c r="T69" s="336" t="s">
        <v>936</v>
      </c>
      <c r="U69" s="1065">
        <f>'[4]0 Úvod'!$I$41+1</f>
        <v>1.0029999999999999</v>
      </c>
      <c r="V69" s="1065">
        <f>'[4]0 Úvod'!$J$41+1</f>
        <v>1.0069999999999999</v>
      </c>
      <c r="W69" s="1065">
        <f>'[4]0 Úvod'!$K$41+1</f>
        <v>1.0249999999999999</v>
      </c>
      <c r="X69" s="1065">
        <f>'[4]0 Úvod'!$L$41+1</f>
        <v>1.0229999999999999</v>
      </c>
      <c r="Y69" s="1065">
        <f>'[4]0 Úvod'!$M$41+1</f>
        <v>1.0158888888888888</v>
      </c>
      <c r="Z69" s="1065">
        <f>'[4]0 Úvod'!$N$41+1</f>
        <v>1.0158888888888888</v>
      </c>
      <c r="AZ69" s="199"/>
    </row>
    <row r="70" spans="4:52" s="78" customFormat="1" x14ac:dyDescent="0.3">
      <c r="D70" s="67"/>
      <c r="E70" s="68"/>
      <c r="J70" s="788" t="s">
        <v>116</v>
      </c>
      <c r="K70" s="789">
        <f>(58086.35-40000)*$U$69*$V$69*$W$69*$X$69*$Y$69*$Z$69</f>
        <v>19768.478933003655</v>
      </c>
      <c r="L70" s="789">
        <f>19008.56*$V$69*$W$69*$X$69*$Y$69*$Z$69</f>
        <v>20714.316529892702</v>
      </c>
      <c r="M70" s="789">
        <f>19192.22*$W$69*$X$69*$Y$69*$Z$69</f>
        <v>20769.073968288114</v>
      </c>
      <c r="N70" s="790"/>
      <c r="O70" s="783"/>
      <c r="P70" s="133" t="s">
        <v>255</v>
      </c>
      <c r="Q70" s="133"/>
      <c r="R70" s="133"/>
      <c r="S70" s="133"/>
      <c r="AZ70" s="199"/>
    </row>
    <row r="71" spans="4:52" s="78" customFormat="1" x14ac:dyDescent="0.3">
      <c r="D71" s="67"/>
      <c r="E71" s="68"/>
      <c r="J71" s="779" t="s">
        <v>211</v>
      </c>
      <c r="K71" s="774">
        <f>SUM(K72:K74)</f>
        <v>333424.24954294786</v>
      </c>
      <c r="L71" s="774">
        <f>SUM(L72:L74)</f>
        <v>309086.31150905573</v>
      </c>
      <c r="M71" s="775">
        <f>SUM(M72:M74)</f>
        <v>337934.3150112431</v>
      </c>
      <c r="N71" s="775">
        <f>SUM(N73:N74)</f>
        <v>0</v>
      </c>
      <c r="O71" s="778">
        <f>SUM(K71:N71)/3</f>
        <v>326814.95868774893</v>
      </c>
      <c r="P71" s="133"/>
      <c r="AZ71" s="199"/>
    </row>
    <row r="72" spans="4:52" s="199" customFormat="1" x14ac:dyDescent="0.3">
      <c r="D72" s="200"/>
      <c r="E72" s="219"/>
      <c r="J72" s="780" t="s">
        <v>258</v>
      </c>
      <c r="K72" s="781">
        <f>(59164.17+96592.73)*$U$69*$V$69*$W$69*$X$69*$Y$69*$Z$69</f>
        <v>170243.13895948918</v>
      </c>
      <c r="L72" s="781">
        <f>(68149.41+113405.33)*$V$69*$W$69*$X$69*$Y$69*$Z$69</f>
        <v>197846.77807589687</v>
      </c>
      <c r="M72" s="781">
        <f>(109502.35+105259.69)*$W$69*$X$69*$Y$69*$Z$69</f>
        <v>232407.12613446757</v>
      </c>
      <c r="N72" s="791"/>
      <c r="O72" s="792"/>
      <c r="P72" s="133"/>
    </row>
    <row r="73" spans="4:52" s="78" customFormat="1" x14ac:dyDescent="0.3">
      <c r="D73" s="67"/>
      <c r="E73" s="68"/>
      <c r="J73" s="785" t="s">
        <v>143</v>
      </c>
      <c r="K73" s="793">
        <f>(76206.05+73089.74)*$U$69*$V$69*$W$69*$X$69*$Y$69*$Z$69</f>
        <v>163181.11058345871</v>
      </c>
      <c r="L73" s="793">
        <f>(93417.09+8662.23)*$V$69*$W$69*$X$69*$Y$69*$Z$69</f>
        <v>111239.53343315885</v>
      </c>
      <c r="M73" s="793">
        <f>(86664.46+10850.77)*$W$69*$X$69*$Y$69*$Z$69</f>
        <v>105527.18887677553</v>
      </c>
      <c r="N73" s="794"/>
      <c r="O73" s="783"/>
      <c r="P73" s="133"/>
      <c r="AZ73" s="199"/>
    </row>
    <row r="74" spans="4:52" s="78" customFormat="1" hidden="1" x14ac:dyDescent="0.3">
      <c r="D74" s="67"/>
      <c r="E74" s="68"/>
      <c r="J74" s="788" t="s">
        <v>191</v>
      </c>
      <c r="K74" s="795"/>
      <c r="L74" s="795"/>
      <c r="M74" s="795"/>
      <c r="N74" s="796"/>
      <c r="O74" s="783"/>
      <c r="P74" s="233"/>
      <c r="Q74" s="133"/>
      <c r="R74" s="133"/>
      <c r="S74" s="133"/>
      <c r="AZ74" s="199"/>
    </row>
    <row r="75" spans="4:52" s="67" customFormat="1" x14ac:dyDescent="0.3">
      <c r="E75" s="74"/>
      <c r="J75" s="779" t="s">
        <v>50</v>
      </c>
      <c r="K75" s="774">
        <f>SUM(K76:K80)</f>
        <v>411125.90787556488</v>
      </c>
      <c r="L75" s="774">
        <f>SUM(L76:L80)</f>
        <v>543015.29144061392</v>
      </c>
      <c r="M75" s="774">
        <f>SUM(M76:M80)</f>
        <v>482185.75159435667</v>
      </c>
      <c r="N75" s="774">
        <f>SUM(N76:N80)</f>
        <v>0</v>
      </c>
      <c r="O75" s="778">
        <f>SUM(K75:N75)/3</f>
        <v>478775.65030351182</v>
      </c>
      <c r="P75" s="133"/>
      <c r="AZ75" s="200"/>
    </row>
    <row r="76" spans="4:52" s="67" customFormat="1" hidden="1" x14ac:dyDescent="0.3">
      <c r="E76" s="136"/>
      <c r="J76" s="780" t="s">
        <v>194</v>
      </c>
      <c r="K76" s="781"/>
      <c r="L76" s="781"/>
      <c r="M76" s="781"/>
      <c r="N76" s="782"/>
      <c r="O76" s="798"/>
      <c r="P76" s="133" t="s">
        <v>261</v>
      </c>
      <c r="AZ76" s="200"/>
    </row>
    <row r="77" spans="4:52" s="200" customFormat="1" x14ac:dyDescent="0.3">
      <c r="E77" s="288"/>
      <c r="J77" s="785" t="s">
        <v>259</v>
      </c>
      <c r="K77" s="786">
        <f>(0+49592.88)*$U$69*$V$69*$W$69*$X$69*$Y$69*$Z$69</f>
        <v>54205.287606785139</v>
      </c>
      <c r="L77" s="786">
        <f>(15400+80166.9-50000)*$V$69*$W$69*$X$69*$Y$69*$Z$69</f>
        <v>49655.901861370214</v>
      </c>
      <c r="M77" s="786">
        <f>(0+32165.15)*$W$69*$X$69*$Y$69*$Z$69</f>
        <v>34807.87420898064</v>
      </c>
      <c r="N77" s="787"/>
      <c r="O77" s="792"/>
      <c r="P77" s="133" t="s">
        <v>260</v>
      </c>
    </row>
    <row r="78" spans="4:52" s="200" customFormat="1" hidden="1" x14ac:dyDescent="0.3">
      <c r="E78" s="288"/>
      <c r="J78" s="785" t="s">
        <v>262</v>
      </c>
      <c r="K78" s="786"/>
      <c r="L78" s="786"/>
      <c r="M78" s="786"/>
      <c r="N78" s="787"/>
      <c r="O78" s="792"/>
      <c r="P78" s="133"/>
    </row>
    <row r="79" spans="4:52" s="200" customFormat="1" x14ac:dyDescent="0.3">
      <c r="E79" s="288"/>
      <c r="J79" s="785" t="s">
        <v>263</v>
      </c>
      <c r="K79" s="786">
        <f>258581.1*$U$69*$V$69*$W$69*$X$69*$Y$69*$Z$69</f>
        <v>282630.54888481717</v>
      </c>
      <c r="L79" s="786">
        <f>(371265.61)*$V$69*$W$69*$X$69*$Y$69*$Z$69</f>
        <v>404581.58651700569</v>
      </c>
      <c r="M79" s="786">
        <f>345959.16*$W$69*$X$69*$Y$69*$Z$69</f>
        <v>374383.54625190952</v>
      </c>
      <c r="N79" s="787"/>
      <c r="O79" s="792"/>
      <c r="P79" s="133"/>
    </row>
    <row r="80" spans="4:52" ht="15" thickBot="1" x14ac:dyDescent="0.35">
      <c r="D80" s="16"/>
      <c r="E80" s="17"/>
      <c r="J80" s="799" t="s">
        <v>144</v>
      </c>
      <c r="K80" s="800">
        <f>(55933.57+12035.05)*$U$69*$V$69*$W$69*$X$69*$Y$69*$Z$69</f>
        <v>74290.071383962568</v>
      </c>
      <c r="L80" s="800">
        <f>(55787.2+25680.04)*$V$69*$W$69*$X$69*$Y$69*$Z$69</f>
        <v>88777.803062238017</v>
      </c>
      <c r="M80" s="800">
        <f>(49698.3+17754.07)*$W$69*$X$69*$Y$69*$Z$69</f>
        <v>72994.33113346649</v>
      </c>
      <c r="N80" s="309"/>
      <c r="O80" s="801"/>
      <c r="P80" s="133"/>
    </row>
    <row r="81" spans="4:20" ht="15" thickBot="1" x14ac:dyDescent="0.35">
      <c r="D81" s="16"/>
      <c r="E81" s="17"/>
      <c r="J81" s="779" t="s">
        <v>937</v>
      </c>
      <c r="K81" s="774">
        <f>SUM(K60:K61,K63,K71,K75)</f>
        <v>5064196.8659296809</v>
      </c>
      <c r="L81" s="774">
        <f>SUM(L60:L61,L63,L71,L75)</f>
        <v>5196019.5871365583</v>
      </c>
      <c r="M81" s="775">
        <f>SUM(M60:N62,M63,M71,M75)</f>
        <v>5215485.5226718932</v>
      </c>
      <c r="N81" s="1066"/>
      <c r="O81" s="778">
        <f>AVERAGE(K81:M81)</f>
        <v>5158567.3252460444</v>
      </c>
      <c r="Q81" s="24"/>
      <c r="R81" s="24"/>
      <c r="S81" s="25"/>
      <c r="T81" s="25"/>
    </row>
    <row r="82" spans="4:20" s="199" customFormat="1" ht="15" thickBot="1" x14ac:dyDescent="0.35">
      <c r="D82" s="200"/>
      <c r="E82" s="319"/>
      <c r="J82" s="1269" t="s">
        <v>264</v>
      </c>
      <c r="K82" s="1270"/>
      <c r="L82" s="1270"/>
      <c r="M82" s="1270"/>
      <c r="N82" s="1270"/>
      <c r="O82" s="1271"/>
      <c r="Q82" s="24"/>
      <c r="R82" s="24"/>
      <c r="S82" s="25"/>
      <c r="T82" s="25"/>
    </row>
    <row r="83" spans="4:20" s="199" customFormat="1" ht="15" thickBot="1" x14ac:dyDescent="0.35">
      <c r="D83" s="200"/>
      <c r="E83" s="288"/>
      <c r="I83" s="308" t="s">
        <v>264</v>
      </c>
      <c r="J83" s="30" t="s">
        <v>46</v>
      </c>
      <c r="K83" s="31">
        <v>2014</v>
      </c>
      <c r="L83" s="31">
        <v>2015</v>
      </c>
      <c r="M83" s="31">
        <v>2016</v>
      </c>
      <c r="N83" s="134"/>
      <c r="O83" s="32" t="s">
        <v>47</v>
      </c>
      <c r="Q83" s="24"/>
      <c r="R83" s="24"/>
      <c r="S83" s="25"/>
      <c r="T83" s="25"/>
    </row>
    <row r="84" spans="4:20" s="199" customFormat="1" x14ac:dyDescent="0.3">
      <c r="D84" s="200"/>
      <c r="E84" s="288"/>
      <c r="J84" s="773" t="s">
        <v>48</v>
      </c>
      <c r="K84" s="774">
        <f>2317105.41*$U$69*$V$69*$W$69*$X$69*$Y$69*$Z$69</f>
        <v>2532608.8173199017</v>
      </c>
      <c r="L84" s="774">
        <f>2455080.27*$V$69*$W$69*$X$69*$Y$69*$Z$69</f>
        <v>2675389.9200715055</v>
      </c>
      <c r="M84" s="775">
        <f>2623660.19*$W$69*$X$69*$Y$69*$Z$69</f>
        <v>2839223.0056639016</v>
      </c>
      <c r="N84" s="775"/>
      <c r="O84" s="776">
        <f>SUM(K84:N84)/3</f>
        <v>2682407.2476851027</v>
      </c>
      <c r="P84" s="133"/>
      <c r="Q84" s="24"/>
      <c r="R84" s="24"/>
      <c r="S84" s="25"/>
      <c r="T84" s="25"/>
    </row>
    <row r="85" spans="4:20" s="199" customFormat="1" x14ac:dyDescent="0.3">
      <c r="D85" s="200"/>
      <c r="E85" s="288"/>
      <c r="I85" s="307" t="s">
        <v>266</v>
      </c>
      <c r="J85" s="777" t="s">
        <v>254</v>
      </c>
      <c r="K85" s="774">
        <f>(210877.72+63952.58-220000)*$U$69*$V$69*$W$69*$X$69*$Y$69*$Z$69</f>
        <v>59929.816156398068</v>
      </c>
      <c r="L85" s="774">
        <f>(284126.47+272696.41-500000)*$V$69*$W$69*$X$69*$Y$69*$Z$69</f>
        <v>61921.951082044441</v>
      </c>
      <c r="M85" s="775">
        <f>(26127+6430.57)*$W$69*$X$69*$Y$69*$Z$69</f>
        <v>35232.535869103107</v>
      </c>
      <c r="N85" s="775"/>
      <c r="O85" s="778">
        <f>SUM(K85:N85)/3</f>
        <v>52361.434369181872</v>
      </c>
      <c r="P85" s="133" t="s">
        <v>265</v>
      </c>
      <c r="Q85" s="24"/>
      <c r="R85" s="24"/>
      <c r="S85" s="25"/>
      <c r="T85" s="25"/>
    </row>
    <row r="86" spans="4:20" s="199" customFormat="1" x14ac:dyDescent="0.3">
      <c r="D86" s="200"/>
      <c r="E86" s="288"/>
      <c r="F86" s="133"/>
      <c r="G86" s="133"/>
      <c r="H86" s="133"/>
      <c r="I86" s="323"/>
      <c r="J86" s="779" t="s">
        <v>212</v>
      </c>
      <c r="K86" s="774">
        <f>(399947.28+23539.82)*$U$69*$V$69*$W$69*$X$69*$Y$69*$Z$69</f>
        <v>462873.70391200064</v>
      </c>
      <c r="L86" s="774">
        <f>(1734792.16+21520.25-1300000)*$V$69*$W$69*$X$69*$Y$69*$Z$69</f>
        <v>497260.1658020477</v>
      </c>
      <c r="M86" s="775">
        <f>(1545219.65+938.82-1100000)*$W$69*$X$69*$Y$69*$Z$69</f>
        <v>482815.34210259444</v>
      </c>
      <c r="N86" s="775"/>
      <c r="O86" s="778">
        <f>SUM(K86:N86)/3</f>
        <v>480983.07060554763</v>
      </c>
      <c r="P86" s="202" t="s">
        <v>368</v>
      </c>
      <c r="Q86" s="24"/>
      <c r="R86" s="24"/>
      <c r="S86" s="25"/>
      <c r="T86" s="25"/>
    </row>
    <row r="87" spans="4:20" s="199" customFormat="1" x14ac:dyDescent="0.3">
      <c r="D87" s="200"/>
      <c r="E87" s="319"/>
      <c r="F87" s="133"/>
      <c r="G87" s="133"/>
      <c r="H87" s="133"/>
      <c r="I87" s="323"/>
      <c r="J87" s="779" t="s">
        <v>281</v>
      </c>
      <c r="K87" s="774">
        <f>11600*$U$69*$V$69*$W$69*$X$69*$Y$69*$Z$69</f>
        <v>12678.863099676963</v>
      </c>
      <c r="L87" s="774">
        <f>(282201.35-200000)*$V$69*$W$69*$X$69*$Y$69*$Z$69</f>
        <v>89577.789326729355</v>
      </c>
      <c r="M87" s="802">
        <v>0</v>
      </c>
      <c r="N87" s="775"/>
      <c r="O87" s="778">
        <f>SUM(K87:N87)/3</f>
        <v>34085.550808802109</v>
      </c>
      <c r="P87" s="784" t="s">
        <v>282</v>
      </c>
      <c r="Q87" s="24"/>
      <c r="R87" s="24"/>
      <c r="S87" s="25"/>
      <c r="T87" s="25"/>
    </row>
    <row r="88" spans="4:20" s="199" customFormat="1" x14ac:dyDescent="0.3">
      <c r="D88" s="200"/>
      <c r="E88" s="288"/>
      <c r="J88" s="779" t="s">
        <v>49</v>
      </c>
      <c r="K88" s="774">
        <f>SUM(K89:K95)</f>
        <v>3695188.2393903397</v>
      </c>
      <c r="L88" s="774">
        <f>SUM(L89:L95)</f>
        <v>3904063.1288131676</v>
      </c>
      <c r="M88" s="775">
        <f>SUM(M89:M95)</f>
        <v>4216940.2916806825</v>
      </c>
      <c r="N88" s="775">
        <f>SUM(N89:N95)</f>
        <v>0</v>
      </c>
      <c r="O88" s="778">
        <f>SUM(K88:N88)/3</f>
        <v>3938730.5532947299</v>
      </c>
      <c r="P88" s="133"/>
      <c r="Q88" s="24"/>
      <c r="R88" s="24"/>
      <c r="S88" s="25"/>
      <c r="T88" s="25"/>
    </row>
    <row r="89" spans="4:20" s="199" customFormat="1" x14ac:dyDescent="0.3">
      <c r="D89" s="200"/>
      <c r="E89" s="288"/>
      <c r="J89" s="780" t="s">
        <v>78</v>
      </c>
      <c r="K89" s="781">
        <f>(1162715.59+1572855.56)*$U$69*$V$69*$W$69*$X$69*$Y$69*$Z$69</f>
        <v>2989994.1474375757</v>
      </c>
      <c r="L89" s="781">
        <f>(961822.04+2107445.47)*$V$69*$W$69*$X$69*$Y$69*$Z$69</f>
        <v>3344692.0080771819</v>
      </c>
      <c r="M89" s="781">
        <f>(3215147.69+2032518.64-2000000)*$W$69*$X$69*$Y$69*$Z$69</f>
        <v>3514498.1785373869</v>
      </c>
      <c r="N89" s="782"/>
      <c r="O89" s="783"/>
      <c r="P89" s="202" t="s">
        <v>391</v>
      </c>
      <c r="Q89" s="24"/>
      <c r="R89" s="24"/>
      <c r="S89" s="25"/>
      <c r="T89" s="25"/>
    </row>
    <row r="90" spans="4:20" s="199" customFormat="1" x14ac:dyDescent="0.3">
      <c r="D90" s="200"/>
      <c r="E90" s="288"/>
      <c r="J90" s="785" t="s">
        <v>79</v>
      </c>
      <c r="K90" s="786">
        <f>(341906.76+6151.97)*$U$69*$V$69*$W$69*$X$69*$Y$69*$Z$69</f>
        <v>380430.08519977814</v>
      </c>
      <c r="L90" s="786">
        <f>(351742.31+3631.44)*$V$69*$W$69*$X$69*$Y$69*$Z$69</f>
        <v>387263.65089806664</v>
      </c>
      <c r="M90" s="786">
        <f>(452089.84+12673.75)*$W$69*$X$69*$Y$69*$Z$69</f>
        <v>502949.07928718679</v>
      </c>
      <c r="N90" s="787"/>
      <c r="O90" s="783"/>
      <c r="P90" s="133"/>
      <c r="Q90" s="24"/>
      <c r="R90" s="24"/>
      <c r="S90" s="25"/>
      <c r="T90" s="25"/>
    </row>
    <row r="91" spans="4:20" s="199" customFormat="1" x14ac:dyDescent="0.3">
      <c r="D91" s="200"/>
      <c r="E91" s="288"/>
      <c r="J91" s="785" t="s">
        <v>213</v>
      </c>
      <c r="K91" s="786">
        <f>142641.9*$U$69*$V$69*$W$69*$X$69*$Y$69*$Z$69</f>
        <v>155908.37261877686</v>
      </c>
      <c r="L91" s="786">
        <v>0</v>
      </c>
      <c r="M91" s="786">
        <v>0</v>
      </c>
      <c r="N91" s="787"/>
      <c r="O91" s="783"/>
      <c r="P91" s="133"/>
      <c r="Q91" s="24"/>
      <c r="R91" s="24"/>
      <c r="S91" s="25"/>
      <c r="T91" s="25"/>
    </row>
    <row r="92" spans="4:20" s="199" customFormat="1" x14ac:dyDescent="0.3">
      <c r="D92" s="200"/>
      <c r="E92" s="288"/>
      <c r="J92" s="785" t="s">
        <v>192</v>
      </c>
      <c r="K92" s="786">
        <f>1583.24*$U$69*$V$69*$W$69*$X$69*$Y$69*$Z$69</f>
        <v>1730.489932235565</v>
      </c>
      <c r="L92" s="786">
        <f>(1905952.69-1900000)*$V$69*$W$69*$X$69*$Y$69*$Z$69</f>
        <v>6486.8619645215522</v>
      </c>
      <c r="M92" s="786">
        <f>9092.29*$W$69*$X$69*$Y$69*$Z$69</f>
        <v>9839.3225771237703</v>
      </c>
      <c r="N92" s="787"/>
      <c r="O92" s="783"/>
      <c r="P92" s="133" t="s">
        <v>267</v>
      </c>
      <c r="Q92" s="24"/>
      <c r="R92" s="24"/>
      <c r="S92" s="25"/>
      <c r="T92" s="25"/>
    </row>
    <row r="93" spans="4:20" s="199" customFormat="1" x14ac:dyDescent="0.3">
      <c r="D93" s="200"/>
      <c r="E93" s="288"/>
      <c r="J93" s="785" t="s">
        <v>115</v>
      </c>
      <c r="K93" s="786">
        <f>9645.04*$U$69*$V$69*$W$69*$X$69*$Y$69*$Z$69</f>
        <v>10542.081185423127</v>
      </c>
      <c r="L93" s="786">
        <f>16835.98*$V$69*$W$69*$X$69*$Y$69*$Z$69</f>
        <v>18346.777389288975</v>
      </c>
      <c r="M93" s="786">
        <f>5676.11*$W$69*$X$69*$Y$69*$Z$69</f>
        <v>6142.4654595528727</v>
      </c>
      <c r="N93" s="787"/>
      <c r="O93" s="783"/>
      <c r="P93" s="133"/>
      <c r="Q93" s="24"/>
      <c r="R93" s="24"/>
      <c r="S93" s="25"/>
      <c r="T93" s="25"/>
    </row>
    <row r="94" spans="4:20" s="199" customFormat="1" x14ac:dyDescent="0.3">
      <c r="D94" s="200"/>
      <c r="E94" s="288"/>
      <c r="J94" s="785" t="s">
        <v>114</v>
      </c>
      <c r="K94" s="786">
        <f>17769.52*$U$69*$V$69*$W$69*$X$69*$Y$69*$Z$69</f>
        <v>19422.182019566531</v>
      </c>
      <c r="L94" s="786">
        <f>18592.89*$V$69*$W$69*$X$69*$Y$69*$Z$69</f>
        <v>20261.345870780144</v>
      </c>
      <c r="M94" s="786">
        <f>43066.09*$W$69*$X$69*$Y$69*$Z$69</f>
        <v>46604.447465428864</v>
      </c>
      <c r="N94" s="787"/>
      <c r="O94" s="783"/>
      <c r="P94" s="133"/>
      <c r="Q94" s="24"/>
      <c r="R94" s="24"/>
      <c r="S94" s="25"/>
      <c r="T94" s="25"/>
    </row>
    <row r="95" spans="4:20" s="199" customFormat="1" x14ac:dyDescent="0.3">
      <c r="D95" s="200"/>
      <c r="E95" s="288"/>
      <c r="J95" s="788" t="s">
        <v>116</v>
      </c>
      <c r="K95" s="789">
        <f>125489.66*$U$69*$V$69*$W$69*$X$69*$Y$69*$Z$69</f>
        <v>137160.88099698344</v>
      </c>
      <c r="L95" s="789">
        <f>116553.42*$V$69*$W$69*$X$69*$Y$69*$Z$69</f>
        <v>127012.48461332821</v>
      </c>
      <c r="M95" s="789">
        <f>126512.4*$W$69*$X$69*$Y$69*$Z$69</f>
        <v>136906.79835400247</v>
      </c>
      <c r="N95" s="790"/>
      <c r="O95" s="783"/>
      <c r="P95" s="133"/>
      <c r="Q95" s="24"/>
      <c r="R95" s="24"/>
      <c r="S95" s="25"/>
      <c r="T95" s="25"/>
    </row>
    <row r="96" spans="4:20" s="199" customFormat="1" x14ac:dyDescent="0.3">
      <c r="D96" s="200"/>
      <c r="E96" s="288"/>
      <c r="J96" s="779" t="s">
        <v>211</v>
      </c>
      <c r="K96" s="774">
        <f>SUM(K97:K99)</f>
        <v>1651475.006007127</v>
      </c>
      <c r="L96" s="774">
        <f>SUM(L97:L99)</f>
        <v>1662948.0370527944</v>
      </c>
      <c r="M96" s="775">
        <f>SUM(M97:M99)</f>
        <v>1670970.8464261075</v>
      </c>
      <c r="N96" s="775">
        <f>SUM(N98:N99)</f>
        <v>0</v>
      </c>
      <c r="O96" s="778">
        <f>SUM(K96:N96)/3</f>
        <v>1661797.9631620096</v>
      </c>
      <c r="P96" s="133"/>
      <c r="Q96" s="24"/>
      <c r="R96" s="24"/>
      <c r="S96" s="25"/>
      <c r="T96" s="25"/>
    </row>
    <row r="97" spans="4:20" s="199" customFormat="1" x14ac:dyDescent="0.3">
      <c r="D97" s="200"/>
      <c r="E97" s="288"/>
      <c r="J97" s="780" t="s">
        <v>214</v>
      </c>
      <c r="K97" s="781">
        <f>(1363848.25+388207.76-450000)*$U$69*$V$69*$W$69*$X$69*$Y$69*$Z$69</f>
        <v>1423154.3016294499</v>
      </c>
      <c r="L97" s="781">
        <f>(897329.74+407693.47)*$V$69*$W$69*$X$69*$Y$69*$Z$69</f>
        <v>1422131.0741474698</v>
      </c>
      <c r="M97" s="781">
        <f>(913470.73+393534.88)*$W$69*$X$69*$Y$69*$Z$69</f>
        <v>1414390.632821921</v>
      </c>
      <c r="N97" s="791"/>
      <c r="O97" s="792"/>
      <c r="P97" s="202" t="s">
        <v>369</v>
      </c>
      <c r="Q97" s="24"/>
      <c r="R97" s="24"/>
      <c r="S97" s="25"/>
      <c r="T97" s="25"/>
    </row>
    <row r="98" spans="4:20" s="199" customFormat="1" x14ac:dyDescent="0.3">
      <c r="D98" s="200"/>
      <c r="E98" s="288"/>
      <c r="J98" s="785" t="s">
        <v>143</v>
      </c>
      <c r="K98" s="793">
        <f>(110555.6+54404.7)*$U$69*$V$69*$W$69*$X$69*$Y$69*$Z$69</f>
        <v>180302.50522255531</v>
      </c>
      <c r="L98" s="793">
        <f>(116634.71+64566.32)*$V$69*$W$69*$X$69*$Y$69*$Z$69</f>
        <v>197461.32747365307</v>
      </c>
      <c r="M98" s="793">
        <f>(144342.59+59222.06)*$W$69*$X$69*$Y$69*$Z$69</f>
        <v>220289.74621897214</v>
      </c>
      <c r="N98" s="794"/>
      <c r="O98" s="783"/>
      <c r="P98" s="133"/>
      <c r="Q98" s="24"/>
      <c r="R98" s="24"/>
      <c r="S98" s="25"/>
      <c r="T98" s="25"/>
    </row>
    <row r="99" spans="4:20" s="199" customFormat="1" x14ac:dyDescent="0.3">
      <c r="D99" s="200"/>
      <c r="E99" s="288"/>
      <c r="J99" s="788" t="s">
        <v>191</v>
      </c>
      <c r="K99" s="795">
        <f>(778411.43+15520.83-750000)*$U$69*$V$69*$W$69*$X$69*$Y$69*$Z$69</f>
        <v>48018.199155121925</v>
      </c>
      <c r="L99" s="795">
        <f>(61110.11+18675.33-40000)*$V$69*$W$69*$X$69*$Y$69*$Z$69</f>
        <v>43355.635431671537</v>
      </c>
      <c r="M99" s="795">
        <f>(15652.89+17882.29)*$W$69*$X$69*$Y$69*$Z$69</f>
        <v>36290.46738521423</v>
      </c>
      <c r="N99" s="796"/>
      <c r="O99" s="783"/>
      <c r="P99" s="803" t="s">
        <v>268</v>
      </c>
      <c r="Q99" s="24"/>
      <c r="R99" s="24"/>
      <c r="S99" s="25"/>
      <c r="T99" s="25"/>
    </row>
    <row r="100" spans="4:20" s="199" customFormat="1" x14ac:dyDescent="0.3">
      <c r="D100" s="200"/>
      <c r="E100" s="288"/>
      <c r="J100" s="779" t="s">
        <v>50</v>
      </c>
      <c r="K100" s="774">
        <f>SUM(K101:K105)</f>
        <v>2043805.9858248185</v>
      </c>
      <c r="L100" s="774">
        <f>SUM(L101:L105)</f>
        <v>2063627.0274874896</v>
      </c>
      <c r="M100" s="774">
        <f>SUM(M101:M105)</f>
        <v>2129336.2842487814</v>
      </c>
      <c r="N100" s="774">
        <f>SUM(N101:N105)</f>
        <v>0</v>
      </c>
      <c r="O100" s="778">
        <f>SUM(K100:N100)/3</f>
        <v>2078923.0991870298</v>
      </c>
      <c r="P100" s="133"/>
      <c r="Q100" s="24"/>
      <c r="R100" s="24"/>
      <c r="S100" s="25"/>
      <c r="T100" s="25"/>
    </row>
    <row r="101" spans="4:20" s="199" customFormat="1" x14ac:dyDescent="0.3">
      <c r="D101" s="200"/>
      <c r="E101" s="288"/>
      <c r="J101" s="780" t="s">
        <v>194</v>
      </c>
      <c r="K101" s="781">
        <f>(27539.09+27877.46)*$U$69*$V$69*$W$69*$X$69*$Y$69*$Z$69</f>
        <v>60570.590595379603</v>
      </c>
      <c r="L101" s="781">
        <f>(19880.09+15705.96)*$V$69*$W$69*$X$69*$Y$69*$Z$69</f>
        <v>38779.408000847412</v>
      </c>
      <c r="M101" s="781">
        <f>(21609.93+48420.08)*$W$69*$X$69*$Y$69*$Z$69</f>
        <v>75783.752879549997</v>
      </c>
      <c r="N101" s="782"/>
      <c r="O101" s="798"/>
      <c r="P101" s="133"/>
      <c r="Q101" s="24"/>
      <c r="R101" s="24"/>
      <c r="S101" s="25"/>
      <c r="T101" s="25"/>
    </row>
    <row r="102" spans="4:20" s="199" customFormat="1" x14ac:dyDescent="0.3">
      <c r="D102" s="200"/>
      <c r="E102" s="288"/>
      <c r="J102" s="785" t="s">
        <v>259</v>
      </c>
      <c r="K102" s="786">
        <f>(48744.44+47558.02)*$U$69*$V$69*$W$69*$X$69*$Y$69*$Z$69</f>
        <v>105259.11262949281</v>
      </c>
      <c r="L102" s="786">
        <f>(440561.94+65550.65-400000)*$V$69*$W$69*$X$69*$Y$69*$Z$69</f>
        <v>115634.7338813001</v>
      </c>
      <c r="M102" s="786">
        <f>(186754.69+36065.59-115000)*$W$69*$X$69*$Y$69*$Z$69</f>
        <v>116678.91315343069</v>
      </c>
      <c r="N102" s="787"/>
      <c r="O102" s="792"/>
      <c r="P102" s="202" t="s">
        <v>371</v>
      </c>
      <c r="Q102" s="24"/>
      <c r="R102" s="24"/>
      <c r="S102" s="25"/>
      <c r="T102" s="25"/>
    </row>
    <row r="103" spans="4:20" s="199" customFormat="1" x14ac:dyDescent="0.3">
      <c r="D103" s="200"/>
      <c r="E103" s="288"/>
      <c r="J103" s="785" t="s">
        <v>262</v>
      </c>
      <c r="K103" s="786">
        <f>23799.15*$U$69*$V$69*$W$69*$X$69*$Y$69*$Z$69</f>
        <v>26012.600408506631</v>
      </c>
      <c r="L103" s="786">
        <f>39545.11*$V$69*$W$69*$X$69*$Y$69*$Z$69</f>
        <v>43093.73912329103</v>
      </c>
      <c r="M103" s="786">
        <f>27664.48*$W$69*$X$69*$Y$69*$Z$69</f>
        <v>29937.424196587326</v>
      </c>
      <c r="N103" s="787"/>
      <c r="O103" s="792"/>
      <c r="P103" s="133" t="s">
        <v>269</v>
      </c>
      <c r="Q103" s="24"/>
      <c r="R103" s="24"/>
      <c r="S103" s="25"/>
      <c r="T103" s="25"/>
    </row>
    <row r="104" spans="4:20" s="199" customFormat="1" x14ac:dyDescent="0.3">
      <c r="D104" s="200"/>
      <c r="E104" s="288"/>
      <c r="J104" s="785" t="s">
        <v>263</v>
      </c>
      <c r="K104" s="786">
        <f>(41303.15+797716.45)*$U$69*$V$69*$W$69*$X$69*$Y$69*$Z$69</f>
        <v>917052.98675394175</v>
      </c>
      <c r="L104" s="786">
        <f>(31612.52+779922.42)*$V$69*$W$69*$X$69*$Y$69*$Z$69</f>
        <v>884359.02678727254</v>
      </c>
      <c r="M104" s="786">
        <f>(26195.06+1009946.79-200000)*$W$69*$X$69*$Y$69*$Z$69</f>
        <v>904840.1868377534</v>
      </c>
      <c r="N104" s="787"/>
      <c r="O104" s="792"/>
      <c r="P104" s="202" t="s">
        <v>372</v>
      </c>
      <c r="Q104" s="24"/>
      <c r="R104" s="24"/>
      <c r="S104" s="25"/>
      <c r="T104" s="25"/>
    </row>
    <row r="105" spans="4:20" s="199" customFormat="1" ht="15" thickBot="1" x14ac:dyDescent="0.35">
      <c r="D105" s="200"/>
      <c r="E105" s="288"/>
      <c r="J105" s="799" t="s">
        <v>144</v>
      </c>
      <c r="K105" s="800">
        <f>(1576802.41+278555.36-1000000)*$U$69*$V$69*$W$69*$X$69*$Y$69*$Z$69</f>
        <v>934910.69543749769</v>
      </c>
      <c r="L105" s="800">
        <f>(4195456.6+405458.77-3700000)*$V$69*$W$69*$X$69*$Y$69*$Z$69</f>
        <v>981760.11969477846</v>
      </c>
      <c r="M105" s="800">
        <f>(5398559.05+727454.65-5200000)*$W$69*$X$69*$Y$69*$Z$69</f>
        <v>1002096.0071814602</v>
      </c>
      <c r="N105" s="309"/>
      <c r="O105" s="801"/>
      <c r="P105" s="133" t="s">
        <v>402</v>
      </c>
      <c r="Q105" s="24"/>
      <c r="R105" s="24"/>
      <c r="S105" s="25"/>
      <c r="T105" s="25"/>
    </row>
    <row r="106" spans="4:20" s="199" customFormat="1" ht="15" thickBot="1" x14ac:dyDescent="0.35">
      <c r="D106" s="200"/>
      <c r="E106" s="288"/>
      <c r="J106" s="779" t="s">
        <v>937</v>
      </c>
      <c r="K106" s="774">
        <f>SUM(K84:K88,K96,K100)</f>
        <v>10458560.431710262</v>
      </c>
      <c r="L106" s="774">
        <f t="shared" ref="L106:M106" si="16">SUM(L84:L88,L96,L100)</f>
        <v>10954788.019635778</v>
      </c>
      <c r="M106" s="774">
        <f t="shared" si="16"/>
        <v>11374518.305991169</v>
      </c>
      <c r="N106" s="1066"/>
      <c r="O106" s="778">
        <f>AVERAGE(K106:M106)</f>
        <v>10929288.919112403</v>
      </c>
      <c r="Q106" s="24"/>
      <c r="R106" s="24"/>
      <c r="S106" s="25"/>
      <c r="T106" s="25"/>
    </row>
    <row r="107" spans="4:20" s="199" customFormat="1" ht="15" thickBot="1" x14ac:dyDescent="0.35">
      <c r="D107" s="200"/>
      <c r="E107" s="319"/>
      <c r="J107" s="1269" t="s">
        <v>270</v>
      </c>
      <c r="K107" s="1270"/>
      <c r="L107" s="1270"/>
      <c r="M107" s="1270"/>
      <c r="N107" s="1270"/>
      <c r="O107" s="1271"/>
      <c r="Q107" s="24"/>
      <c r="R107" s="24"/>
      <c r="S107" s="25"/>
      <c r="T107" s="25"/>
    </row>
    <row r="108" spans="4:20" s="199" customFormat="1" ht="15" thickBot="1" x14ac:dyDescent="0.35">
      <c r="D108" s="200"/>
      <c r="E108" s="288"/>
      <c r="I108" s="308" t="s">
        <v>270</v>
      </c>
      <c r="J108" s="30" t="s">
        <v>46</v>
      </c>
      <c r="K108" s="31">
        <v>2014</v>
      </c>
      <c r="L108" s="31">
        <v>2015</v>
      </c>
      <c r="M108" s="31">
        <v>2016</v>
      </c>
      <c r="N108" s="134"/>
      <c r="O108" s="32" t="s">
        <v>47</v>
      </c>
      <c r="Q108" s="24"/>
      <c r="R108" s="24"/>
      <c r="S108" s="25"/>
      <c r="T108" s="25"/>
    </row>
    <row r="109" spans="4:20" s="199" customFormat="1" x14ac:dyDescent="0.3">
      <c r="D109" s="200"/>
      <c r="E109" s="288"/>
      <c r="J109" s="773" t="s">
        <v>48</v>
      </c>
      <c r="K109" s="774">
        <f>1282217.18*$U$69*$V$69*$W$69*$X$69*$Y$69*$Z$69</f>
        <v>1401470.3525236079</v>
      </c>
      <c r="L109" s="774">
        <f>1325892.16*$V$69*$W$69*$X$69*$Y$69*$Z$69</f>
        <v>1444872.7250640304</v>
      </c>
      <c r="M109" s="775">
        <f>1410657.16*$W$69*$X$69*$Y$69*$Z$69</f>
        <v>1526558.3085195585</v>
      </c>
      <c r="N109" s="775"/>
      <c r="O109" s="776">
        <f>SUM(K109:N109)/3</f>
        <v>1457633.7953690656</v>
      </c>
      <c r="P109" s="133"/>
      <c r="Q109" s="24"/>
      <c r="R109" s="24"/>
      <c r="S109" s="25"/>
      <c r="T109" s="25"/>
    </row>
    <row r="110" spans="4:20" s="199" customFormat="1" x14ac:dyDescent="0.3">
      <c r="D110" s="200"/>
      <c r="E110" s="288"/>
      <c r="I110" s="307"/>
      <c r="J110" s="777" t="s">
        <v>254</v>
      </c>
      <c r="K110" s="774">
        <f>(292446.28-200000)*$U$69*$V$69*$W$69*$X$69*$Y$69*$Z$69</f>
        <v>101044.28691331076</v>
      </c>
      <c r="L110" s="774">
        <f>(115451.78-100000)*$V$69*$W$69*$X$69*$Y$69*$Z$69</f>
        <v>16838.364498429408</v>
      </c>
      <c r="M110" s="775">
        <f>12550.55*$W$69*$X$69*$Y$69*$Z$69</f>
        <v>13581.717033917828</v>
      </c>
      <c r="N110" s="775"/>
      <c r="O110" s="778">
        <f>SUM(K110:N110)/3</f>
        <v>43821.456148552672</v>
      </c>
      <c r="P110" s="133" t="s">
        <v>283</v>
      </c>
      <c r="Q110" s="24"/>
      <c r="R110" s="24"/>
      <c r="S110" s="25"/>
      <c r="T110" s="25"/>
    </row>
    <row r="111" spans="4:20" s="199" customFormat="1" hidden="1" x14ac:dyDescent="0.3">
      <c r="D111" s="200"/>
      <c r="E111" s="288"/>
      <c r="J111" s="779" t="s">
        <v>212</v>
      </c>
      <c r="K111" s="774"/>
      <c r="L111" s="774"/>
      <c r="M111" s="775"/>
      <c r="N111" s="775"/>
      <c r="O111" s="778">
        <f>SUM(K111:N111)/3</f>
        <v>0</v>
      </c>
      <c r="P111" s="133"/>
      <c r="Q111" s="24"/>
      <c r="R111" s="24"/>
      <c r="S111" s="25"/>
      <c r="T111" s="25"/>
    </row>
    <row r="112" spans="4:20" s="199" customFormat="1" x14ac:dyDescent="0.3">
      <c r="D112" s="200"/>
      <c r="E112" s="288"/>
      <c r="J112" s="779" t="s">
        <v>49</v>
      </c>
      <c r="K112" s="774">
        <f>SUM(K113:K119)</f>
        <v>316911.44033263577</v>
      </c>
      <c r="L112" s="774">
        <f>SUM(L113:L119)</f>
        <v>281643.61477377947</v>
      </c>
      <c r="M112" s="775">
        <f>SUM(M113:M119)</f>
        <v>336446.70060749084</v>
      </c>
      <c r="N112" s="775">
        <f>SUM(N113:N119)</f>
        <v>0</v>
      </c>
      <c r="O112" s="778">
        <f>SUM(K112:N112)/3</f>
        <v>311667.25190463534</v>
      </c>
      <c r="P112" s="133"/>
      <c r="Q112" s="24"/>
      <c r="R112" s="24"/>
      <c r="S112" s="25"/>
      <c r="T112" s="25"/>
    </row>
    <row r="113" spans="4:20" s="199" customFormat="1" x14ac:dyDescent="0.3">
      <c r="D113" s="200"/>
      <c r="E113" s="288"/>
      <c r="J113" s="780" t="s">
        <v>78</v>
      </c>
      <c r="K113" s="781">
        <f>(57632.46+152704.54)*$U$69*$V$69*$W$69*$X$69*$Y$69*$Z$69</f>
        <v>229899.48515489252</v>
      </c>
      <c r="L113" s="781">
        <f>(404808.7+169729.07-360000)*$V$69*$W$69*$X$69*$Y$69*$Z$69</f>
        <v>233789.58087289715</v>
      </c>
      <c r="M113" s="781">
        <f>(1992275.09+330600.69-2100000)*$W$69*$X$69*$Y$69*$Z$69</f>
        <v>241187.49996404347</v>
      </c>
      <c r="N113" s="782"/>
      <c r="O113" s="783"/>
      <c r="P113" s="784" t="s">
        <v>938</v>
      </c>
      <c r="Q113" s="24"/>
      <c r="R113" s="24"/>
      <c r="S113" s="25"/>
      <c r="T113" s="25"/>
    </row>
    <row r="114" spans="4:20" s="199" customFormat="1" hidden="1" x14ac:dyDescent="0.3">
      <c r="D114" s="200"/>
      <c r="E114" s="288"/>
      <c r="J114" s="785" t="s">
        <v>79</v>
      </c>
      <c r="K114" s="786"/>
      <c r="L114" s="786"/>
      <c r="M114" s="786"/>
      <c r="N114" s="787"/>
      <c r="O114" s="783"/>
      <c r="P114" s="133"/>
      <c r="Q114" s="24"/>
      <c r="R114" s="24"/>
      <c r="S114" s="25"/>
      <c r="T114" s="25"/>
    </row>
    <row r="115" spans="4:20" s="199" customFormat="1" hidden="1" x14ac:dyDescent="0.3">
      <c r="D115" s="200"/>
      <c r="E115" s="288"/>
      <c r="J115" s="785" t="s">
        <v>213</v>
      </c>
      <c r="K115" s="786"/>
      <c r="L115" s="786"/>
      <c r="M115" s="786"/>
      <c r="N115" s="787"/>
      <c r="O115" s="783"/>
      <c r="P115" s="133"/>
      <c r="Q115" s="24"/>
      <c r="R115" s="24"/>
      <c r="S115" s="25"/>
      <c r="T115" s="25"/>
    </row>
    <row r="116" spans="4:20" s="199" customFormat="1" hidden="1" x14ac:dyDescent="0.3">
      <c r="D116" s="200"/>
      <c r="E116" s="288"/>
      <c r="J116" s="785" t="s">
        <v>192</v>
      </c>
      <c r="K116" s="786"/>
      <c r="L116" s="786"/>
      <c r="M116" s="786"/>
      <c r="N116" s="787"/>
      <c r="O116" s="783"/>
      <c r="P116" s="133"/>
      <c r="Q116" s="24"/>
      <c r="R116" s="24"/>
      <c r="S116" s="25"/>
      <c r="T116" s="25"/>
    </row>
    <row r="117" spans="4:20" s="199" customFormat="1" x14ac:dyDescent="0.3">
      <c r="D117" s="200"/>
      <c r="E117" s="288"/>
      <c r="J117" s="785" t="s">
        <v>115</v>
      </c>
      <c r="K117" s="786">
        <f>45.45*$U$69*$V$69*$W$69*$X$69*$Y$69*$Z$69</f>
        <v>49.6770972310619</v>
      </c>
      <c r="L117" s="786">
        <v>0</v>
      </c>
      <c r="M117" s="786">
        <v>0</v>
      </c>
      <c r="N117" s="787"/>
      <c r="O117" s="783"/>
      <c r="P117" s="133"/>
      <c r="Q117" s="24"/>
      <c r="R117" s="24"/>
      <c r="S117" s="25"/>
      <c r="T117" s="25"/>
    </row>
    <row r="118" spans="4:20" s="199" customFormat="1" x14ac:dyDescent="0.3">
      <c r="D118" s="200"/>
      <c r="E118" s="288"/>
      <c r="J118" s="785" t="s">
        <v>114</v>
      </c>
      <c r="K118" s="786">
        <f>3123.59*$U$69*$V$69*$W$69*$X$69*$Y$69*$Z$69</f>
        <v>3414.1008611655138</v>
      </c>
      <c r="L118" s="786">
        <v>0</v>
      </c>
      <c r="M118" s="786">
        <f>400*$W$69*$X$69*$Y$69*$Z$69</f>
        <v>432.86444128481463</v>
      </c>
      <c r="N118" s="787"/>
      <c r="O118" s="783"/>
      <c r="P118" s="310"/>
      <c r="Q118" s="24"/>
      <c r="R118" s="24"/>
      <c r="S118" s="25"/>
      <c r="T118" s="25"/>
    </row>
    <row r="119" spans="4:20" s="199" customFormat="1" x14ac:dyDescent="0.3">
      <c r="D119" s="200"/>
      <c r="E119" s="288"/>
      <c r="J119" s="788" t="s">
        <v>116</v>
      </c>
      <c r="K119" s="789">
        <f>(76438.94)*$U$69*$V$69*$W$69*$X$69*$Y$69*$Z$69</f>
        <v>83548.17721934666</v>
      </c>
      <c r="L119" s="789">
        <f>43913.41*$V$69*$W$69*$X$69*$Y$69*$Z$69</f>
        <v>47854.033900882299</v>
      </c>
      <c r="M119" s="789">
        <f>87626.82*$W$69*$X$69*$Y$69*$Z$69</f>
        <v>94826.336202162565</v>
      </c>
      <c r="N119" s="790"/>
      <c r="O119" s="783"/>
      <c r="P119" s="133"/>
      <c r="Q119" s="24"/>
      <c r="R119" s="24"/>
      <c r="S119" s="25"/>
      <c r="T119" s="25"/>
    </row>
    <row r="120" spans="4:20" s="199" customFormat="1" x14ac:dyDescent="0.3">
      <c r="D120" s="200"/>
      <c r="E120" s="288"/>
      <c r="J120" s="779" t="s">
        <v>211</v>
      </c>
      <c r="K120" s="774">
        <f>SUM(K121:K123)</f>
        <v>293054.94617455557</v>
      </c>
      <c r="L120" s="774">
        <f>SUM(L121:L123)</f>
        <v>222767.62902026915</v>
      </c>
      <c r="M120" s="775">
        <f>SUM(M121:M123)</f>
        <v>245833.29333140969</v>
      </c>
      <c r="N120" s="775">
        <f>SUM(N122:N123)</f>
        <v>0</v>
      </c>
      <c r="O120" s="778">
        <f>SUM(K120:N120)/3</f>
        <v>253885.28950874481</v>
      </c>
      <c r="P120" s="133"/>
      <c r="Q120" s="24"/>
      <c r="R120" s="24"/>
      <c r="S120" s="25"/>
      <c r="T120" s="25"/>
    </row>
    <row r="121" spans="4:20" s="199" customFormat="1" x14ac:dyDescent="0.3">
      <c r="D121" s="200"/>
      <c r="E121" s="288"/>
      <c r="J121" s="780" t="s">
        <v>258</v>
      </c>
      <c r="K121" s="781">
        <f>(82358.38+76419.81)*$U$69*$V$69*$W$69*$X$69*$Y$69*$Z$69</f>
        <v>173545.42536418082</v>
      </c>
      <c r="L121" s="781">
        <f>(70175.56+79143.12)*$V$69*$W$69*$X$69*$Y$69*$Z$69</f>
        <v>162717.9755513178</v>
      </c>
      <c r="M121" s="781">
        <f>(91764.33+74131.54)*$W$69*$X$69*$Y$69*$Z$69</f>
        <v>179526.05769752062</v>
      </c>
      <c r="N121" s="791"/>
      <c r="O121" s="792"/>
      <c r="P121" s="133"/>
      <c r="Q121" s="24"/>
      <c r="R121" s="24"/>
      <c r="S121" s="25"/>
      <c r="T121" s="25"/>
    </row>
    <row r="122" spans="4:20" s="199" customFormat="1" x14ac:dyDescent="0.3">
      <c r="D122" s="200"/>
      <c r="E122" s="288"/>
      <c r="J122" s="785" t="s">
        <v>143</v>
      </c>
      <c r="K122" s="793">
        <f>(56666.32+52673.96)*$U$69*$V$69*$W$69*$X$69*$Y$69*$Z$69</f>
        <v>119509.52081037473</v>
      </c>
      <c r="L122" s="793">
        <f>(53384.03+1720.73)*$V$69*$W$69*$X$69*$Y$69*$Z$69</f>
        <v>60049.65346895135</v>
      </c>
      <c r="M122" s="793">
        <f>(59932.25+1340.73)*$W$69*$X$69*$Y$69*$Z$69</f>
        <v>66307.235633889068</v>
      </c>
      <c r="N122" s="794"/>
      <c r="O122" s="783"/>
      <c r="P122" s="202" t="s">
        <v>370</v>
      </c>
      <c r="Q122" s="24"/>
      <c r="R122" s="24"/>
      <c r="S122" s="25"/>
      <c r="T122" s="25"/>
    </row>
    <row r="123" spans="4:20" s="199" customFormat="1" hidden="1" x14ac:dyDescent="0.3">
      <c r="D123" s="200"/>
      <c r="E123" s="288"/>
      <c r="J123" s="788" t="s">
        <v>191</v>
      </c>
      <c r="K123" s="795"/>
      <c r="L123" s="795"/>
      <c r="M123" s="795"/>
      <c r="N123" s="796"/>
      <c r="O123" s="783"/>
      <c r="P123" s="233"/>
      <c r="Q123" s="24"/>
      <c r="R123" s="24"/>
      <c r="S123" s="25"/>
      <c r="T123" s="25"/>
    </row>
    <row r="124" spans="4:20" s="199" customFormat="1" x14ac:dyDescent="0.3">
      <c r="D124" s="200"/>
      <c r="E124" s="288"/>
      <c r="J124" s="779" t="s">
        <v>50</v>
      </c>
      <c r="K124" s="774">
        <f>SUM(K125:K128)</f>
        <v>274441.42422949726</v>
      </c>
      <c r="L124" s="774">
        <f>SUM(L125:L128)</f>
        <v>373042.71295535658</v>
      </c>
      <c r="M124" s="774">
        <f>SUM(M125:M128)</f>
        <v>381163.94568180596</v>
      </c>
      <c r="N124" s="774">
        <f>SUM(N125:N128)</f>
        <v>0</v>
      </c>
      <c r="O124" s="778">
        <f>SUM(K124:N124)/3</f>
        <v>342882.69428888662</v>
      </c>
      <c r="P124" s="133"/>
      <c r="Q124" s="24"/>
      <c r="R124" s="24"/>
      <c r="S124" s="25"/>
      <c r="T124" s="25"/>
    </row>
    <row r="125" spans="4:20" s="199" customFormat="1" hidden="1" x14ac:dyDescent="0.3">
      <c r="D125" s="200"/>
      <c r="E125" s="288"/>
      <c r="J125" s="780" t="s">
        <v>194</v>
      </c>
      <c r="K125" s="781"/>
      <c r="L125" s="781"/>
      <c r="M125" s="781"/>
      <c r="N125" s="782"/>
      <c r="O125" s="798"/>
      <c r="P125" s="133"/>
      <c r="Q125" s="24"/>
      <c r="R125" s="24"/>
      <c r="S125" s="25"/>
      <c r="T125" s="25"/>
    </row>
    <row r="126" spans="4:20" s="199" customFormat="1" x14ac:dyDescent="0.3">
      <c r="D126" s="200"/>
      <c r="E126" s="288"/>
      <c r="J126" s="785" t="s">
        <v>259</v>
      </c>
      <c r="K126" s="786">
        <f>(0+18035.99)*$U$69*$V$69*$W$69*$X$69*$Y$69*$Z$69</f>
        <v>19713.435179064025</v>
      </c>
      <c r="L126" s="786">
        <f>(12100+59231.54)*$V$69*$W$69*$X$69*$Y$69*$Z$69</f>
        <v>77732.563546355028</v>
      </c>
      <c r="M126" s="786">
        <f>(0+33392.21)*$W$69*$X$69*$Y$69*$Z$69</f>
        <v>36135.75081228801</v>
      </c>
      <c r="N126" s="787"/>
      <c r="O126" s="792"/>
      <c r="P126" s="133"/>
      <c r="Q126" s="24"/>
      <c r="R126" s="24"/>
      <c r="S126" s="25"/>
      <c r="T126" s="25"/>
    </row>
    <row r="127" spans="4:20" s="199" customFormat="1" x14ac:dyDescent="0.3">
      <c r="D127" s="200"/>
      <c r="E127" s="288"/>
      <c r="J127" s="785" t="s">
        <v>263</v>
      </c>
      <c r="K127" s="786">
        <f>(1487.52+225732.64)*$U$69*$V$69*$W$69*$X$69*$Y$69*$Z$69</f>
        <v>248352.87087299093</v>
      </c>
      <c r="L127" s="786">
        <f>(661.12+246958.4)*$V$69*$W$69*$X$69*$Y$69*$Z$69</f>
        <v>269839.96243061515</v>
      </c>
      <c r="M127" s="786">
        <f>(0+314692.25)*$W$69*$X$69*$Y$69*$Z$69</f>
        <v>340547.71243227809</v>
      </c>
      <c r="N127" s="787"/>
      <c r="O127" s="792"/>
      <c r="P127" s="133"/>
      <c r="Q127" s="24"/>
      <c r="R127" s="24"/>
      <c r="S127" s="25"/>
      <c r="T127" s="25"/>
    </row>
    <row r="128" spans="4:20" s="199" customFormat="1" ht="15" thickBot="1" x14ac:dyDescent="0.35">
      <c r="D128" s="200"/>
      <c r="E128" s="288"/>
      <c r="J128" s="799" t="s">
        <v>144</v>
      </c>
      <c r="K128" s="800">
        <f>5832.65*$U$69*$V$69*$W$69*$X$69*$Y$69*$Z$69</f>
        <v>6375.118177442313</v>
      </c>
      <c r="L128" s="800">
        <f>23372.8*$V$69*$W$69*$X$69*$Y$69*$Z$69</f>
        <v>25470.186978386369</v>
      </c>
      <c r="M128" s="800">
        <f>4140.31*$W$69*$X$69*$Y$69*$Z$69</f>
        <v>4480.4824372398289</v>
      </c>
      <c r="N128" s="309"/>
      <c r="O128" s="801"/>
      <c r="P128" s="133"/>
      <c r="Q128" s="24"/>
      <c r="R128" s="24"/>
      <c r="S128" s="25"/>
      <c r="T128" s="25"/>
    </row>
    <row r="129" spans="4:20" s="199" customFormat="1" ht="15" thickBot="1" x14ac:dyDescent="0.35">
      <c r="D129" s="200"/>
      <c r="E129" s="288"/>
      <c r="J129" s="779" t="s">
        <v>937</v>
      </c>
      <c r="K129" s="774">
        <f>SUM(K109:K110,K112,K120,K124)</f>
        <v>2386922.4501736071</v>
      </c>
      <c r="L129" s="774">
        <f t="shared" ref="L129:M129" si="17">SUM(L109:L110,L112,L120,L124)</f>
        <v>2339165.0463118651</v>
      </c>
      <c r="M129" s="774">
        <f t="shared" si="17"/>
        <v>2503583.9651741832</v>
      </c>
      <c r="N129" s="1066"/>
      <c r="O129" s="778">
        <f>AVERAGE(K129:M129)</f>
        <v>2409890.487219885</v>
      </c>
      <c r="Q129" s="24"/>
      <c r="R129" s="24"/>
      <c r="S129" s="25"/>
      <c r="T129" s="25"/>
    </row>
    <row r="130" spans="4:20" s="199" customFormat="1" ht="15" thickBot="1" x14ac:dyDescent="0.35">
      <c r="D130" s="200"/>
      <c r="E130" s="319"/>
      <c r="J130" s="1269" t="s">
        <v>271</v>
      </c>
      <c r="K130" s="1270"/>
      <c r="L130" s="1270"/>
      <c r="M130" s="1270"/>
      <c r="N130" s="1270"/>
      <c r="O130" s="1271"/>
      <c r="Q130" s="24"/>
      <c r="R130" s="24"/>
      <c r="S130" s="25"/>
      <c r="T130" s="25"/>
    </row>
    <row r="131" spans="4:20" s="199" customFormat="1" ht="15" thickBot="1" x14ac:dyDescent="0.35">
      <c r="D131" s="200"/>
      <c r="E131" s="288"/>
      <c r="I131" s="308" t="s">
        <v>271</v>
      </c>
      <c r="J131" s="30" t="s">
        <v>46</v>
      </c>
      <c r="K131" s="31">
        <v>2014</v>
      </c>
      <c r="L131" s="31">
        <v>2015</v>
      </c>
      <c r="M131" s="31">
        <v>2016</v>
      </c>
      <c r="N131" s="134"/>
      <c r="O131" s="32" t="s">
        <v>47</v>
      </c>
      <c r="Q131" s="24"/>
      <c r="R131" s="24"/>
      <c r="S131" s="25"/>
      <c r="T131" s="25"/>
    </row>
    <row r="132" spans="4:20" s="199" customFormat="1" x14ac:dyDescent="0.3">
      <c r="D132" s="200"/>
      <c r="E132" s="288"/>
      <c r="J132" s="773" t="s">
        <v>48</v>
      </c>
      <c r="K132" s="774">
        <f>180738.85*$U$69*$V$69*$W$69*$X$69*$Y$69*$Z$69</f>
        <v>197548.54620198705</v>
      </c>
      <c r="L132" s="774">
        <f>167584.45*$V$69*$W$69*$X$69*$Y$69*$Z$69</f>
        <v>182622.84690623466</v>
      </c>
      <c r="M132" s="775">
        <f>175477.25*$W$69*$X$69*$Y$69*$Z$69</f>
        <v>189894.6544486144</v>
      </c>
      <c r="N132" s="775"/>
      <c r="O132" s="776">
        <f>SUM(K132:N132)/3</f>
        <v>190022.01585227871</v>
      </c>
      <c r="P132" s="133"/>
      <c r="Q132" s="24"/>
      <c r="R132" s="24"/>
      <c r="S132" s="25"/>
      <c r="T132" s="25"/>
    </row>
    <row r="133" spans="4:20" s="199" customFormat="1" x14ac:dyDescent="0.3">
      <c r="D133" s="200"/>
      <c r="E133" s="288"/>
      <c r="I133" s="307"/>
      <c r="J133" s="777" t="s">
        <v>254</v>
      </c>
      <c r="K133" s="774">
        <f>7015.75*$U$69*$V$69*$W$69*$X$69*$Y$69*$Z$69</f>
        <v>7668.2529130654002</v>
      </c>
      <c r="L133" s="774">
        <f>(180607.37)*$V$69*$W$69*$X$69*$Y$69*$Z$69</f>
        <v>196814.39466279643</v>
      </c>
      <c r="M133" s="775">
        <f>185957.54*$W$69*$X$69*$Y$69*$Z$69</f>
        <v>201236.01663699647</v>
      </c>
      <c r="N133" s="775"/>
      <c r="O133" s="778">
        <f>SUM(K133:N133)/3</f>
        <v>135239.55473761944</v>
      </c>
      <c r="P133" s="133"/>
      <c r="Q133" s="24"/>
      <c r="R133" s="24"/>
      <c r="S133" s="25"/>
      <c r="T133" s="25"/>
    </row>
    <row r="134" spans="4:20" s="199" customFormat="1" hidden="1" x14ac:dyDescent="0.3">
      <c r="D134" s="200"/>
      <c r="E134" s="288"/>
      <c r="J134" s="779" t="s">
        <v>212</v>
      </c>
      <c r="K134" s="774"/>
      <c r="L134" s="774"/>
      <c r="M134" s="775"/>
      <c r="N134" s="775"/>
      <c r="O134" s="778">
        <f>SUM(K134:N134)/3</f>
        <v>0</v>
      </c>
      <c r="P134" s="133"/>
      <c r="Q134" s="24"/>
      <c r="R134" s="24"/>
      <c r="S134" s="25"/>
      <c r="T134" s="25"/>
    </row>
    <row r="135" spans="4:20" s="199" customFormat="1" x14ac:dyDescent="0.3">
      <c r="D135" s="200"/>
      <c r="E135" s="288"/>
      <c r="J135" s="779" t="s">
        <v>49</v>
      </c>
      <c r="K135" s="774">
        <f>SUM(K136:K142)</f>
        <v>1319931.2723230582</v>
      </c>
      <c r="L135" s="774">
        <f>SUM(L136:L142)</f>
        <v>1383009.4562780219</v>
      </c>
      <c r="M135" s="775">
        <f>SUM(M136:M142)</f>
        <v>1314289.4971111501</v>
      </c>
      <c r="N135" s="775">
        <f>SUM(N136:N142)</f>
        <v>0</v>
      </c>
      <c r="O135" s="778">
        <f>SUM(K135:N135)/3</f>
        <v>1339076.7419040769</v>
      </c>
      <c r="P135" s="133"/>
      <c r="Q135" s="24"/>
      <c r="R135" s="24"/>
      <c r="S135" s="25"/>
      <c r="T135" s="25"/>
    </row>
    <row r="136" spans="4:20" s="199" customFormat="1" x14ac:dyDescent="0.3">
      <c r="D136" s="200"/>
      <c r="E136" s="288"/>
      <c r="J136" s="780" t="s">
        <v>78</v>
      </c>
      <c r="K136" s="781">
        <f>(466433.74+549384.39)*$U$69*$V$69*$W$69*$X$69*$Y$69*$Z$69</f>
        <v>1110294.7417620567</v>
      </c>
      <c r="L136" s="781">
        <f>(427324.15+1456794.62-800000)*$V$69*$W$69*$X$69*$Y$69*$Z$69</f>
        <v>1181403.5023051687</v>
      </c>
      <c r="M136" s="781">
        <f>(2746488.1+247712.78-1900000)*$W$69*$X$69*$Y$69*$Z$69</f>
        <v>1184101.6314363815</v>
      </c>
      <c r="N136" s="782"/>
      <c r="O136" s="783"/>
      <c r="P136" s="784" t="s">
        <v>272</v>
      </c>
      <c r="Q136" s="24"/>
      <c r="R136" s="24"/>
      <c r="S136" s="25"/>
      <c r="T136" s="25"/>
    </row>
    <row r="137" spans="4:20" s="199" customFormat="1" hidden="1" x14ac:dyDescent="0.3">
      <c r="D137" s="200"/>
      <c r="E137" s="288"/>
      <c r="J137" s="785" t="s">
        <v>79</v>
      </c>
      <c r="K137" s="786"/>
      <c r="L137" s="786"/>
      <c r="M137" s="786"/>
      <c r="N137" s="787"/>
      <c r="O137" s="783"/>
      <c r="P137" s="133"/>
      <c r="Q137" s="24"/>
      <c r="R137" s="24"/>
      <c r="S137" s="25"/>
      <c r="T137" s="25"/>
    </row>
    <row r="138" spans="4:20" s="199" customFormat="1" hidden="1" x14ac:dyDescent="0.3">
      <c r="D138" s="200"/>
      <c r="E138" s="288"/>
      <c r="J138" s="785" t="s">
        <v>213</v>
      </c>
      <c r="K138" s="786"/>
      <c r="L138" s="786"/>
      <c r="M138" s="786"/>
      <c r="N138" s="787"/>
      <c r="O138" s="783"/>
      <c r="P138" s="133"/>
      <c r="Q138" s="24"/>
      <c r="R138" s="24"/>
      <c r="S138" s="25"/>
      <c r="T138" s="25"/>
    </row>
    <row r="139" spans="4:20" s="199" customFormat="1" hidden="1" x14ac:dyDescent="0.3">
      <c r="D139" s="200"/>
      <c r="E139" s="288"/>
      <c r="J139" s="785" t="s">
        <v>192</v>
      </c>
      <c r="K139" s="786"/>
      <c r="L139" s="786"/>
      <c r="M139" s="786"/>
      <c r="N139" s="787"/>
      <c r="O139" s="783"/>
      <c r="P139" s="133"/>
      <c r="Q139" s="24"/>
      <c r="R139" s="24"/>
      <c r="S139" s="25"/>
      <c r="T139" s="25"/>
    </row>
    <row r="140" spans="4:20" s="199" customFormat="1" x14ac:dyDescent="0.3">
      <c r="D140" s="200"/>
      <c r="E140" s="288"/>
      <c r="J140" s="785" t="s">
        <v>115</v>
      </c>
      <c r="K140" s="786">
        <f>14270*$U$69*$V$69*$W$69*$X$69*$Y$69*$Z$69</f>
        <v>15597.187623481917</v>
      </c>
      <c r="L140" s="786">
        <v>0</v>
      </c>
      <c r="M140" s="786">
        <f>983.7*$W$69*$X$69*$Y$69*$Z$69</f>
        <v>1064.5218772296807</v>
      </c>
      <c r="N140" s="787"/>
      <c r="O140" s="783"/>
      <c r="P140" s="133"/>
      <c r="Q140" s="24"/>
      <c r="R140" s="24"/>
      <c r="S140" s="25"/>
      <c r="T140" s="25"/>
    </row>
    <row r="141" spans="4:20" s="199" customFormat="1" x14ac:dyDescent="0.3">
      <c r="D141" s="200"/>
      <c r="E141" s="288"/>
      <c r="J141" s="785" t="s">
        <v>114</v>
      </c>
      <c r="K141" s="786">
        <f>3140.07*$U$69*$V$69*$W$69*$X$69*$Y$69*$Z$69</f>
        <v>3432.113590810573</v>
      </c>
      <c r="L141" s="786">
        <f>3377.18*$V$69*$W$69*$X$69*$Y$69*$Z$69</f>
        <v>3680.2354043874448</v>
      </c>
      <c r="M141" s="786">
        <f>5099.61*$W$69*$X$69*$Y$69*$Z$69</f>
        <v>5518.5995835511349</v>
      </c>
      <c r="N141" s="787"/>
      <c r="O141" s="783"/>
      <c r="P141" s="310"/>
      <c r="Q141" s="24"/>
      <c r="R141" s="24"/>
      <c r="S141" s="25"/>
      <c r="T141" s="25"/>
    </row>
    <row r="142" spans="4:20" s="199" customFormat="1" x14ac:dyDescent="0.3">
      <c r="D142" s="200"/>
      <c r="E142" s="288"/>
      <c r="J142" s="788" t="s">
        <v>116</v>
      </c>
      <c r="K142" s="789">
        <f>174388.18*$U$69*$V$69*$W$69*$X$69*$Y$69*$Z$69</f>
        <v>190607.22934670895</v>
      </c>
      <c r="L142" s="789">
        <f>181627.18*$V$69*$W$69*$X$69*$Y$69*$Z$69</f>
        <v>197925.71856846579</v>
      </c>
      <c r="M142" s="789">
        <f>114220.28*$W$69*$X$69*$Y$69*$Z$69</f>
        <v>123604.74421398772</v>
      </c>
      <c r="N142" s="790"/>
      <c r="O142" s="783"/>
      <c r="P142" s="133"/>
      <c r="Q142" s="24"/>
      <c r="R142" s="24"/>
      <c r="S142" s="25"/>
      <c r="T142" s="25"/>
    </row>
    <row r="143" spans="4:20" s="199" customFormat="1" x14ac:dyDescent="0.3">
      <c r="D143" s="200"/>
      <c r="E143" s="288"/>
      <c r="J143" s="779" t="s">
        <v>211</v>
      </c>
      <c r="K143" s="774">
        <f>SUM(K144:K146)</f>
        <v>40608.376448201998</v>
      </c>
      <c r="L143" s="774">
        <f>SUM(L144:L146)</f>
        <v>39688.051864925219</v>
      </c>
      <c r="M143" s="775">
        <f>SUM(M144:M146)</f>
        <v>39478.578924943082</v>
      </c>
      <c r="N143" s="775">
        <f>SUM(N145:N146)</f>
        <v>0</v>
      </c>
      <c r="O143" s="778">
        <f>SUM(K143:N143)/3</f>
        <v>39925.002412690104</v>
      </c>
      <c r="P143" s="133"/>
      <c r="Q143" s="24"/>
      <c r="R143" s="24"/>
      <c r="S143" s="25"/>
      <c r="T143" s="25"/>
    </row>
    <row r="144" spans="4:20" s="199" customFormat="1" hidden="1" x14ac:dyDescent="0.3">
      <c r="D144" s="200"/>
      <c r="E144" s="288"/>
      <c r="J144" s="780" t="s">
        <v>214</v>
      </c>
      <c r="K144" s="781"/>
      <c r="L144" s="781"/>
      <c r="M144" s="781"/>
      <c r="N144" s="791"/>
      <c r="O144" s="792"/>
      <c r="P144" s="133"/>
      <c r="Q144" s="24"/>
      <c r="R144" s="24"/>
      <c r="S144" s="25"/>
      <c r="T144" s="25"/>
    </row>
    <row r="145" spans="4:41" s="199" customFormat="1" x14ac:dyDescent="0.3">
      <c r="D145" s="200"/>
      <c r="E145" s="288"/>
      <c r="J145" s="785" t="s">
        <v>143</v>
      </c>
      <c r="K145" s="793">
        <f>(35664+1488.95)*$U$69*$V$69*$W$69*$X$69*$Y$69*$Z$69</f>
        <v>40608.376448201998</v>
      </c>
      <c r="L145" s="793">
        <f>(35664+755.87)*$V$69*$W$69*$X$69*$Y$69*$Z$69</f>
        <v>39688.051864925219</v>
      </c>
      <c r="M145" s="793">
        <f>(36288+193.24)*$W$69*$X$69*$Y$69*$Z$69</f>
        <v>39478.578924943082</v>
      </c>
      <c r="N145" s="794"/>
      <c r="O145" s="783"/>
      <c r="P145" s="133"/>
      <c r="Q145" s="24"/>
      <c r="R145" s="24"/>
      <c r="S145" s="25"/>
      <c r="T145" s="25"/>
    </row>
    <row r="146" spans="4:41" s="199" customFormat="1" hidden="1" x14ac:dyDescent="0.3">
      <c r="D146" s="200"/>
      <c r="E146" s="288"/>
      <c r="J146" s="788" t="s">
        <v>191</v>
      </c>
      <c r="K146" s="795"/>
      <c r="L146" s="795"/>
      <c r="M146" s="795"/>
      <c r="N146" s="796"/>
      <c r="O146" s="783"/>
      <c r="P146" s="233"/>
      <c r="Q146" s="24"/>
      <c r="R146" s="24"/>
      <c r="S146" s="25"/>
      <c r="T146" s="25"/>
    </row>
    <row r="147" spans="4:41" s="199" customFormat="1" x14ac:dyDescent="0.3">
      <c r="D147" s="200"/>
      <c r="E147" s="288"/>
      <c r="J147" s="779" t="s">
        <v>50</v>
      </c>
      <c r="K147" s="797">
        <v>0</v>
      </c>
      <c r="L147" s="774">
        <f>SUM(L148:L149)</f>
        <v>1791.0795718016691</v>
      </c>
      <c r="M147" s="774">
        <f>SUM(M148:M149)</f>
        <v>2431.2372425313224</v>
      </c>
      <c r="N147" s="774">
        <f>SUM(N148:N149)</f>
        <v>0</v>
      </c>
      <c r="O147" s="778">
        <f>SUM(K147:N147)/3</f>
        <v>1407.438938110997</v>
      </c>
      <c r="P147" s="133"/>
      <c r="Q147" s="24"/>
      <c r="R147" s="24"/>
      <c r="S147" s="25"/>
      <c r="T147" s="25"/>
    </row>
    <row r="148" spans="4:41" s="199" customFormat="1" hidden="1" x14ac:dyDescent="0.3">
      <c r="D148" s="200"/>
      <c r="E148" s="288"/>
      <c r="J148" s="780" t="s">
        <v>194</v>
      </c>
      <c r="K148" s="781"/>
      <c r="L148" s="781"/>
      <c r="M148" s="781"/>
      <c r="N148" s="782"/>
      <c r="O148" s="798"/>
      <c r="P148" s="133"/>
      <c r="Q148" s="24"/>
      <c r="R148" s="24"/>
      <c r="S148" s="25"/>
      <c r="T148" s="25"/>
    </row>
    <row r="149" spans="4:41" s="199" customFormat="1" ht="15" thickBot="1" x14ac:dyDescent="0.35">
      <c r="D149" s="200"/>
      <c r="E149" s="288"/>
      <c r="J149" s="799" t="s">
        <v>144</v>
      </c>
      <c r="K149" s="800">
        <v>0</v>
      </c>
      <c r="L149" s="800">
        <f>1643.59*$V$69*$W$69*$X$69*$Y$69*$Z$69</f>
        <v>1791.0795718016691</v>
      </c>
      <c r="M149" s="800">
        <f>2246.65*$W$69*$X$69*$Y$69*$Z$69</f>
        <v>2431.2372425313224</v>
      </c>
      <c r="N149" s="309"/>
      <c r="O149" s="801"/>
      <c r="P149" s="133"/>
      <c r="Q149" s="24"/>
      <c r="R149" s="24"/>
      <c r="S149" s="25"/>
      <c r="T149" s="25"/>
    </row>
    <row r="150" spans="4:41" s="199" customFormat="1" ht="15" thickBot="1" x14ac:dyDescent="0.35">
      <c r="D150" s="200"/>
      <c r="E150" s="288"/>
      <c r="J150" s="779" t="s">
        <v>937</v>
      </c>
      <c r="K150" s="774">
        <f>SUM(K132:K133,K135,K143,K147)</f>
        <v>1565756.4478863126</v>
      </c>
      <c r="L150" s="774">
        <f t="shared" ref="L150:M150" si="18">SUM(L132:L133,L135,L143,L147)</f>
        <v>1803925.82928378</v>
      </c>
      <c r="M150" s="774">
        <f t="shared" si="18"/>
        <v>1747329.9843642353</v>
      </c>
      <c r="N150" s="1066"/>
      <c r="O150" s="778">
        <f>AVERAGE(K150:M150)</f>
        <v>1705670.753844776</v>
      </c>
      <c r="Q150" s="24"/>
      <c r="R150" s="24"/>
      <c r="S150" s="25"/>
      <c r="T150" s="25"/>
    </row>
    <row r="151" spans="4:41" ht="15" thickBot="1" x14ac:dyDescent="0.35">
      <c r="P151" s="24" t="s">
        <v>13</v>
      </c>
      <c r="Q151" s="26"/>
      <c r="R151" s="26"/>
      <c r="S151" s="25"/>
      <c r="T151" s="25"/>
    </row>
    <row r="152" spans="4:41" ht="52.8" x14ac:dyDescent="0.3">
      <c r="G152" s="199"/>
      <c r="P152" s="182" t="s">
        <v>10</v>
      </c>
      <c r="Q152" s="358" t="s">
        <v>826</v>
      </c>
      <c r="R152" s="358" t="s">
        <v>917</v>
      </c>
      <c r="S152" s="359" t="s">
        <v>25</v>
      </c>
      <c r="T152" s="360" t="s">
        <v>918</v>
      </c>
    </row>
    <row r="153" spans="4:41" x14ac:dyDescent="0.3">
      <c r="J153" s="234" t="s">
        <v>225</v>
      </c>
      <c r="K153" s="202">
        <v>8.1999999999999993</v>
      </c>
      <c r="L153" s="202" t="s">
        <v>145</v>
      </c>
      <c r="M153" s="234"/>
      <c r="N153" s="208"/>
      <c r="P153" s="361" t="s">
        <v>12</v>
      </c>
      <c r="Q153" s="362">
        <f>'[7]5 Úspory času'!$E$82</f>
        <v>600.34</v>
      </c>
      <c r="R153" s="362">
        <f>'[7]5 Úspory času'!$F$82</f>
        <v>667.16021374849709</v>
      </c>
      <c r="S153" s="362">
        <f>'[7]5 Úspory času'!$K$82*100</f>
        <v>10</v>
      </c>
      <c r="T153" s="510">
        <f>S153*R153/100</f>
        <v>66.716021374849703</v>
      </c>
    </row>
    <row r="154" spans="4:41" ht="15" customHeight="1" x14ac:dyDescent="0.3">
      <c r="J154" s="234" t="s">
        <v>226</v>
      </c>
      <c r="K154" s="202">
        <v>15.4</v>
      </c>
      <c r="L154" s="202" t="s">
        <v>145</v>
      </c>
      <c r="M154" s="333"/>
      <c r="N154" s="333"/>
      <c r="P154" s="361" t="s">
        <v>11</v>
      </c>
      <c r="Q154" s="362">
        <f>'[7]5 Úspory času'!$E$84</f>
        <v>233.92</v>
      </c>
      <c r="R154" s="362">
        <f>'[7]5 Úspory času'!$F$84</f>
        <v>257.73331458193792</v>
      </c>
      <c r="S154" s="362">
        <f>'[7]5 Úspory času'!$K$84*100</f>
        <v>45</v>
      </c>
      <c r="T154" s="510">
        <f>S154*R154/100</f>
        <v>115.97999156187207</v>
      </c>
    </row>
    <row r="155" spans="4:41" ht="15" customHeight="1" thickBot="1" x14ac:dyDescent="0.35">
      <c r="J155" s="312"/>
      <c r="K155" s="311"/>
      <c r="L155" s="312"/>
      <c r="M155" s="333" t="s">
        <v>275</v>
      </c>
      <c r="N155" s="333"/>
      <c r="P155" s="142" t="s">
        <v>123</v>
      </c>
      <c r="Q155" s="511">
        <f>'[7]5 Úspory času'!$E$88</f>
        <v>196.08</v>
      </c>
      <c r="R155" s="511">
        <f>'[7]5 Úspory času'!$F$88</f>
        <v>216.04116075250681</v>
      </c>
      <c r="S155" s="511">
        <f>'[7]5 Úspory času'!$K$88*100</f>
        <v>45</v>
      </c>
      <c r="T155" s="512">
        <f>S155*R155/100</f>
        <v>97.218522338628063</v>
      </c>
      <c r="U155" s="465">
        <f>SUM(T154:T155)</f>
        <v>213.19851390050013</v>
      </c>
      <c r="V155" s="2"/>
    </row>
    <row r="156" spans="4:41" ht="15" customHeight="1" thickBot="1" x14ac:dyDescent="0.35">
      <c r="J156" s="278" t="s">
        <v>223</v>
      </c>
      <c r="K156" s="281">
        <f>31.3-28.53143</f>
        <v>2.7685700000000004</v>
      </c>
      <c r="L156" s="133" t="s">
        <v>145</v>
      </c>
      <c r="M156" s="334">
        <f>K167+K168+K169</f>
        <v>2.7685700000000004</v>
      </c>
      <c r="N156" s="333"/>
      <c r="P156" s="1256" t="s">
        <v>14</v>
      </c>
      <c r="Q156" s="1257"/>
      <c r="R156" s="1257"/>
      <c r="S156" s="1258"/>
      <c r="T156" s="514">
        <f>SUM(T153:T155)</f>
        <v>279.91453527534986</v>
      </c>
      <c r="V156" s="2"/>
    </row>
    <row r="157" spans="4:41" ht="15" customHeight="1" x14ac:dyDescent="0.3">
      <c r="J157" s="278" t="s">
        <v>224</v>
      </c>
      <c r="K157" s="281">
        <f>94.354-94.02288</f>
        <v>0.33111999999999853</v>
      </c>
      <c r="L157" s="133" t="s">
        <v>145</v>
      </c>
      <c r="M157" s="334">
        <f>K170</f>
        <v>0.33111999999999853</v>
      </c>
      <c r="N157" s="333"/>
      <c r="P157" s="361" t="s">
        <v>12</v>
      </c>
      <c r="Q157" s="362">
        <f>'[7]5 Úspory času'!$E$82</f>
        <v>600.34</v>
      </c>
      <c r="R157" s="362">
        <f>'[7]5 Úspory času'!$F$82</f>
        <v>667.16021374849709</v>
      </c>
      <c r="S157" s="362">
        <f>'[7]5 Úspory času'!$L$82*100</f>
        <v>10</v>
      </c>
      <c r="T157" s="515">
        <f>S157*R157/100</f>
        <v>66.716021374849703</v>
      </c>
      <c r="V157" s="2"/>
    </row>
    <row r="158" spans="4:41" ht="15" customHeight="1" x14ac:dyDescent="0.3">
      <c r="J158" s="133"/>
      <c r="K158" s="231"/>
      <c r="L158" s="133"/>
      <c r="M158" s="208"/>
      <c r="N158" s="208"/>
      <c r="P158" s="140" t="s">
        <v>16</v>
      </c>
      <c r="Q158" s="362">
        <f>'[7]5 Úspory času'!$E$86</f>
        <v>300.23</v>
      </c>
      <c r="R158" s="362">
        <f>'[7]5 Úspory času'!$F$86</f>
        <v>330.79374588293109</v>
      </c>
      <c r="S158" s="362">
        <f>'[7]5 Úspory času'!$L$86*100</f>
        <v>45</v>
      </c>
      <c r="T158" s="510">
        <f>S158*R158/100</f>
        <v>148.85718564731897</v>
      </c>
      <c r="U158" s="465">
        <f>SUM(T158:T159)</f>
        <v>273.50890280946953</v>
      </c>
      <c r="V158" s="14"/>
    </row>
    <row r="159" spans="4:41" ht="15" customHeight="1" thickBot="1" x14ac:dyDescent="0.35">
      <c r="J159" s="143" t="s">
        <v>146</v>
      </c>
      <c r="K159" s="201">
        <f>K156/90</f>
        <v>3.0761888888888894E-2</v>
      </c>
      <c r="L159" s="143" t="s">
        <v>147</v>
      </c>
      <c r="M159" s="279"/>
      <c r="P159" s="513" t="s">
        <v>124</v>
      </c>
      <c r="Q159" s="511">
        <f>'[7]5 Úspory času'!$E$90</f>
        <v>251.41</v>
      </c>
      <c r="R159" s="511">
        <f>'[7]5 Úspory času'!$F$90</f>
        <v>277.00381591589019</v>
      </c>
      <c r="S159" s="511">
        <f>'[7]5 Úspory času'!$L$90*100</f>
        <v>45</v>
      </c>
      <c r="T159" s="512">
        <f>S159*R159/100</f>
        <v>124.65171716215058</v>
      </c>
    </row>
    <row r="160" spans="4:41" ht="15" customHeight="1" thickBot="1" x14ac:dyDescent="0.35">
      <c r="J160" s="133"/>
      <c r="K160" s="135"/>
      <c r="L160" s="133"/>
      <c r="M160" s="317"/>
      <c r="N160" s="317"/>
      <c r="P160" s="1256" t="s">
        <v>186</v>
      </c>
      <c r="Q160" s="1257"/>
      <c r="R160" s="1257"/>
      <c r="S160" s="1258"/>
      <c r="T160" s="514">
        <f>SUM(T157:T159)</f>
        <v>340.22492418431926</v>
      </c>
      <c r="U160" s="1265" t="s">
        <v>37</v>
      </c>
      <c r="V160" s="1266"/>
      <c r="W160" s="1263" t="s">
        <v>38</v>
      </c>
      <c r="X160" s="1264"/>
      <c r="Y160" s="377"/>
      <c r="Z160" s="1259" t="s">
        <v>37</v>
      </c>
      <c r="AA160" s="1266"/>
      <c r="AB160" s="1263" t="s">
        <v>40</v>
      </c>
      <c r="AC160" s="1264"/>
      <c r="AD160" s="377"/>
      <c r="AE160" s="1259" t="s">
        <v>37</v>
      </c>
      <c r="AF160" s="1260"/>
      <c r="AG160" s="378" t="s">
        <v>39</v>
      </c>
      <c r="AH160" s="18"/>
      <c r="AI160" s="1191" t="s">
        <v>37</v>
      </c>
      <c r="AJ160" s="1192"/>
      <c r="AK160" s="1051" t="s">
        <v>829</v>
      </c>
      <c r="AM160" s="1191" t="s">
        <v>37</v>
      </c>
      <c r="AN160" s="1192"/>
      <c r="AO160" s="1051" t="s">
        <v>620</v>
      </c>
    </row>
    <row r="161" spans="10:41" ht="57" customHeight="1" thickBot="1" x14ac:dyDescent="0.35">
      <c r="J161" s="133" t="s">
        <v>273</v>
      </c>
      <c r="K161" s="133"/>
      <c r="L161" s="133"/>
      <c r="M161" s="317"/>
      <c r="N161" s="317"/>
      <c r="P161" s="1206" t="s">
        <v>10</v>
      </c>
      <c r="Q161" s="1207"/>
      <c r="R161" s="1207"/>
      <c r="S161" s="550" t="s">
        <v>403</v>
      </c>
      <c r="T161" s="551" t="s">
        <v>404</v>
      </c>
      <c r="U161" s="1267"/>
      <c r="V161" s="1268"/>
      <c r="W161" s="379" t="s">
        <v>29</v>
      </c>
      <c r="X161" s="380" t="s">
        <v>30</v>
      </c>
      <c r="Y161" s="381"/>
      <c r="Z161" s="1267"/>
      <c r="AA161" s="1268"/>
      <c r="AB161" s="379" t="s">
        <v>29</v>
      </c>
      <c r="AC161" s="380" t="s">
        <v>30</v>
      </c>
      <c r="AD161" s="377"/>
      <c r="AE161" s="1261"/>
      <c r="AF161" s="1262"/>
      <c r="AG161" s="380" t="s">
        <v>30</v>
      </c>
      <c r="AH161" s="19"/>
      <c r="AI161" s="1193"/>
      <c r="AJ161" s="1194"/>
      <c r="AK161" s="1052" t="s">
        <v>30</v>
      </c>
      <c r="AM161" s="1193"/>
      <c r="AN161" s="1194"/>
      <c r="AO161" s="1052" t="s">
        <v>30</v>
      </c>
    </row>
    <row r="162" spans="10:41" ht="15" customHeight="1" thickBot="1" x14ac:dyDescent="0.35">
      <c r="J162" s="308" t="s">
        <v>253</v>
      </c>
      <c r="K162" s="308">
        <f>29.505-19.111</f>
        <v>10.393999999999998</v>
      </c>
      <c r="L162" s="313" t="s">
        <v>145</v>
      </c>
      <c r="M162" s="317"/>
      <c r="N162" s="317"/>
      <c r="P162" s="1204" t="s">
        <v>405</v>
      </c>
      <c r="Q162" s="1205"/>
      <c r="R162" s="1205"/>
      <c r="S162" s="552">
        <f>'[7]5 Úspory času'!$E$93</f>
        <v>35.340000000000003</v>
      </c>
      <c r="T162" s="553">
        <f>'[7]5 Úspory času'!$F$93</f>
        <v>39.273481616870249</v>
      </c>
      <c r="U162" s="1275" t="s">
        <v>827</v>
      </c>
      <c r="V162" s="382">
        <v>-0.2</v>
      </c>
      <c r="W162" s="383">
        <f>'[2]FA-20%IN'!$E$37</f>
        <v>-177102.1145465679</v>
      </c>
      <c r="X162" s="384">
        <f>'[2]EA-20%IN'!$G$37</f>
        <v>574440.1687428318</v>
      </c>
      <c r="Y162" s="381"/>
      <c r="Z162" s="1275" t="s">
        <v>827</v>
      </c>
      <c r="AA162" s="382">
        <v>-0.2</v>
      </c>
      <c r="AB162" s="383">
        <f>'[2]FA-20%Ú+O'!$E$37</f>
        <v>-763249.6179158967</v>
      </c>
      <c r="AC162" s="384">
        <f>'[2]EA-20%Ú+O'!$G$37</f>
        <v>113678.46126241796</v>
      </c>
      <c r="AD162" s="377"/>
      <c r="AE162" s="1275" t="s">
        <v>827</v>
      </c>
      <c r="AF162" s="382">
        <v>-0.2</v>
      </c>
      <c r="AG162" s="384">
        <f>'[2]EA-20%ÚČ'!$G$37</f>
        <v>226993.93794900787</v>
      </c>
      <c r="AH162" s="20"/>
      <c r="AI162" s="1195" t="s">
        <v>827</v>
      </c>
      <c r="AJ162" s="1053">
        <v>-0.2</v>
      </c>
      <c r="AK162" s="1054">
        <f>'[2]EA-20%PN'!$G$37</f>
        <v>267525.29726739298</v>
      </c>
      <c r="AM162" s="1195" t="s">
        <v>827</v>
      </c>
      <c r="AN162" s="1053">
        <v>-0.2</v>
      </c>
      <c r="AO162" s="1054">
        <f>'[2]EA-20%NAD'!$G$37</f>
        <v>284203.76609246631</v>
      </c>
    </row>
    <row r="163" spans="10:41" ht="15" thickBot="1" x14ac:dyDescent="0.35">
      <c r="J163" s="308" t="s">
        <v>264</v>
      </c>
      <c r="K163" s="308">
        <f>30.617-29.505</f>
        <v>1.1120000000000019</v>
      </c>
      <c r="L163" s="313" t="s">
        <v>145</v>
      </c>
      <c r="M163" s="329" t="s">
        <v>284</v>
      </c>
      <c r="N163" s="317"/>
      <c r="P163" s="1201" t="s">
        <v>406</v>
      </c>
      <c r="Q163" s="1202"/>
      <c r="R163" s="1202"/>
      <c r="S163" s="1203"/>
      <c r="T163" s="554">
        <f>T162</f>
        <v>39.273481616870249</v>
      </c>
      <c r="U163" s="1276"/>
      <c r="V163" s="385">
        <v>-0.1</v>
      </c>
      <c r="W163" s="386">
        <f>'[2]FA-10%IN'!$E$37</f>
        <v>-357332.93564922892</v>
      </c>
      <c r="X163" s="387">
        <f>'[2]EA-10%IN'!$G$37</f>
        <v>439916.31656188663</v>
      </c>
      <c r="Y163" s="381"/>
      <c r="Z163" s="1276"/>
      <c r="AA163" s="385">
        <v>-0.1</v>
      </c>
      <c r="AB163" s="386">
        <f>'[2]FA-10%Ú+O'!$E$37</f>
        <v>-650406.68733389303</v>
      </c>
      <c r="AC163" s="387">
        <f>'[2]EA-10%Ú+O'!$G$37</f>
        <v>209535.46282167974</v>
      </c>
      <c r="AD163" s="377"/>
      <c r="AE163" s="1276"/>
      <c r="AF163" s="385">
        <v>-0.1</v>
      </c>
      <c r="AG163" s="387">
        <f>'[2]EA-10%ÚČ'!$G$37</f>
        <v>266193.20116497495</v>
      </c>
      <c r="AH163" s="20"/>
      <c r="AI163" s="1196"/>
      <c r="AJ163" s="1055">
        <v>-0.1</v>
      </c>
      <c r="AK163" s="1056">
        <f>'[2]EA-10%PN'!$G$37</f>
        <v>286458.88082416705</v>
      </c>
      <c r="AM163" s="1196"/>
      <c r="AN163" s="1055">
        <v>-0.1</v>
      </c>
      <c r="AO163" s="1056">
        <f>'[2]EA-10%NAD'!$G$37</f>
        <v>294798.11523670377</v>
      </c>
    </row>
    <row r="164" spans="10:41" x14ac:dyDescent="0.3">
      <c r="J164" s="308" t="s">
        <v>270</v>
      </c>
      <c r="K164" s="308">
        <f>38.616-30.617</f>
        <v>7.9989999999999988</v>
      </c>
      <c r="L164" s="313" t="s">
        <v>145</v>
      </c>
      <c r="M164" s="317"/>
      <c r="N164" s="317"/>
      <c r="P164" s="57"/>
      <c r="U164" s="1276"/>
      <c r="V164" s="385">
        <v>0</v>
      </c>
      <c r="W164" s="386">
        <f>[2]FA!$E$37</f>
        <v>-537563.75675188983</v>
      </c>
      <c r="X164" s="387">
        <f>[2]EA!$G$37</f>
        <v>305392.46438094147</v>
      </c>
      <c r="Y164" s="381"/>
      <c r="Z164" s="1276"/>
      <c r="AA164" s="385">
        <v>0</v>
      </c>
      <c r="AB164" s="386">
        <f>[2]FA!$E$37</f>
        <v>-537563.75675188983</v>
      </c>
      <c r="AC164" s="387">
        <f>[2]EA!$G$37</f>
        <v>305392.46438094147</v>
      </c>
      <c r="AD164" s="377"/>
      <c r="AE164" s="1276"/>
      <c r="AF164" s="385">
        <v>0</v>
      </c>
      <c r="AG164" s="387">
        <f>[2]EA!$G$37</f>
        <v>305392.46438094147</v>
      </c>
      <c r="AH164" s="20"/>
      <c r="AI164" s="1196"/>
      <c r="AJ164" s="1055">
        <v>0</v>
      </c>
      <c r="AK164" s="1056">
        <f>AG164</f>
        <v>305392.46438094147</v>
      </c>
      <c r="AM164" s="1196"/>
      <c r="AN164" s="1055">
        <v>0</v>
      </c>
      <c r="AO164" s="1056">
        <f>AK164</f>
        <v>305392.46438094147</v>
      </c>
    </row>
    <row r="165" spans="10:41" x14ac:dyDescent="0.3">
      <c r="J165" s="308" t="s">
        <v>271</v>
      </c>
      <c r="K165" s="308">
        <f>94.354-85.413</f>
        <v>8.9410000000000025</v>
      </c>
      <c r="L165" s="313" t="s">
        <v>145</v>
      </c>
      <c r="M165" s="317"/>
      <c r="N165" s="317"/>
      <c r="P165" s="57"/>
      <c r="U165" s="1276"/>
      <c r="V165" s="385">
        <v>0.1</v>
      </c>
      <c r="W165" s="386">
        <f>'[2]FA+10%IN'!$E$37</f>
        <v>-717794.57785455091</v>
      </c>
      <c r="X165" s="387">
        <f>'[2]EA+10%IN'!$G$37</f>
        <v>170868.61219999639</v>
      </c>
      <c r="Y165" s="381"/>
      <c r="Z165" s="1276"/>
      <c r="AA165" s="385">
        <v>0.1</v>
      </c>
      <c r="AB165" s="386">
        <f>'[2]FA+10%Ú+O'!$E$37</f>
        <v>-424720.82616988634</v>
      </c>
      <c r="AC165" s="387">
        <f>'[2]EA+10%Ú+O'!$G$37</f>
        <v>401249.4659402034</v>
      </c>
      <c r="AD165" s="377"/>
      <c r="AE165" s="1276"/>
      <c r="AF165" s="385">
        <v>0.1</v>
      </c>
      <c r="AG165" s="387">
        <f>'[2]EA+10%ÚČ'!$G$37</f>
        <v>344591.72759690811</v>
      </c>
      <c r="AH165" s="20"/>
      <c r="AI165" s="1196"/>
      <c r="AJ165" s="1055">
        <v>0.1</v>
      </c>
      <c r="AK165" s="1056">
        <f>'[2]EA+10%PN'!$G$37</f>
        <v>324326.04793771578</v>
      </c>
      <c r="AM165" s="1196"/>
      <c r="AN165" s="1055">
        <v>0.1</v>
      </c>
      <c r="AO165" s="1056">
        <f>'[2]EA+10%NAD'!$G$37</f>
        <v>315986.81352517928</v>
      </c>
    </row>
    <row r="166" spans="10:41" ht="15" customHeight="1" x14ac:dyDescent="0.3">
      <c r="J166" s="133" t="s">
        <v>274</v>
      </c>
      <c r="M166" s="317"/>
      <c r="N166" s="317"/>
      <c r="U166" s="1277"/>
      <c r="V166" s="385">
        <v>0.2</v>
      </c>
      <c r="W166" s="386">
        <f>'[2]FA+20%IN'!$E$37</f>
        <v>-898025.39895721176</v>
      </c>
      <c r="X166" s="387">
        <f>'[2]EA+20%IN'!$G$37</f>
        <v>36344.760019051377</v>
      </c>
      <c r="Y166" s="381"/>
      <c r="Z166" s="1277"/>
      <c r="AA166" s="385">
        <v>0.2</v>
      </c>
      <c r="AB166" s="386">
        <f>'[2]FA+20%Ú+O'!$E$37</f>
        <v>-311877.89558788325</v>
      </c>
      <c r="AC166" s="387">
        <f>'[2]EA+20%Ú+O'!$G$37</f>
        <v>497106.46749946487</v>
      </c>
      <c r="AD166" s="377"/>
      <c r="AE166" s="1277"/>
      <c r="AF166" s="385">
        <v>0.2</v>
      </c>
      <c r="AG166" s="387">
        <f>'[2]EA+20%ÚČ'!$G$37</f>
        <v>383790.99081287498</v>
      </c>
      <c r="AH166" s="20"/>
      <c r="AI166" s="1197"/>
      <c r="AJ166" s="1055">
        <v>0.2</v>
      </c>
      <c r="AK166" s="1056">
        <f>'[2]EA+20%PN'!$G$37</f>
        <v>343259.63149449008</v>
      </c>
      <c r="AM166" s="1197"/>
      <c r="AN166" s="1055">
        <v>0.2</v>
      </c>
      <c r="AO166" s="1056">
        <f>'[2]EA+20%NAD'!$G$37</f>
        <v>326581.16266941652</v>
      </c>
    </row>
    <row r="167" spans="10:41" ht="15" customHeight="1" x14ac:dyDescent="0.3">
      <c r="J167" s="314" t="s">
        <v>253</v>
      </c>
      <c r="K167" s="316">
        <f>29.505-28.53143</f>
        <v>0.97356999999999871</v>
      </c>
      <c r="L167" s="315" t="s">
        <v>145</v>
      </c>
      <c r="M167" s="133" t="s">
        <v>285</v>
      </c>
      <c r="N167" s="208"/>
      <c r="O167" s="133"/>
      <c r="P167" s="133"/>
      <c r="U167" s="1278" t="s">
        <v>828</v>
      </c>
      <c r="V167" s="388">
        <v>-0.2</v>
      </c>
      <c r="W167" s="389" t="s">
        <v>122</v>
      </c>
      <c r="X167" s="390">
        <f>'[2]EA-20%IN'!$G$38</f>
        <v>0.18140000000000001</v>
      </c>
      <c r="Y167" s="381"/>
      <c r="Z167" s="1278" t="s">
        <v>828</v>
      </c>
      <c r="AA167" s="388">
        <v>-0.2</v>
      </c>
      <c r="AB167" s="389" t="s">
        <v>122</v>
      </c>
      <c r="AC167" s="390">
        <f>'[2]EA-20%Ú+O'!$G$38</f>
        <v>6.3299999999999995E-2</v>
      </c>
      <c r="AD167" s="377"/>
      <c r="AE167" s="1278" t="s">
        <v>828</v>
      </c>
      <c r="AF167" s="388">
        <v>-0.2</v>
      </c>
      <c r="AG167" s="390">
        <f>'[2]EA-20%ÚČ'!$G$38</f>
        <v>8.3400000000000002E-2</v>
      </c>
      <c r="AH167" s="21"/>
      <c r="AI167" s="1198" t="s">
        <v>828</v>
      </c>
      <c r="AJ167" s="1057">
        <v>-0.2</v>
      </c>
      <c r="AK167" s="1058">
        <f>'[2]EA-20%PN'!$G$38</f>
        <v>8.8499999999999995E-2</v>
      </c>
      <c r="AM167" s="1198" t="s">
        <v>828</v>
      </c>
      <c r="AN167" s="1057">
        <v>-0.2</v>
      </c>
      <c r="AO167" s="1058">
        <f>'[2]EA-20%NAD'!$G$38</f>
        <v>8.9599999999999999E-2</v>
      </c>
    </row>
    <row r="168" spans="10:41" x14ac:dyDescent="0.3">
      <c r="J168" s="314" t="s">
        <v>264</v>
      </c>
      <c r="K168" s="316">
        <f>K163</f>
        <v>1.1120000000000019</v>
      </c>
      <c r="L168" s="315" t="s">
        <v>145</v>
      </c>
      <c r="M168" s="330">
        <f>K167+K168+K169</f>
        <v>2.7685700000000004</v>
      </c>
      <c r="N168" s="317"/>
      <c r="O168" s="318" t="s">
        <v>275</v>
      </c>
      <c r="U168" s="1279"/>
      <c r="V168" s="385">
        <v>-0.1</v>
      </c>
      <c r="W168" s="389" t="s">
        <v>122</v>
      </c>
      <c r="X168" s="390">
        <f>'[2]EA-10%IN'!$G$38</f>
        <v>0.12709999999999999</v>
      </c>
      <c r="Y168" s="381"/>
      <c r="Z168" s="1279"/>
      <c r="AA168" s="385">
        <v>-0.1</v>
      </c>
      <c r="AB168" s="389" t="s">
        <v>122</v>
      </c>
      <c r="AC168" s="390">
        <f>'[2]EA-10%Ú+O'!$G$38</f>
        <v>7.6899999999999996E-2</v>
      </c>
      <c r="AD168" s="377"/>
      <c r="AE168" s="1279"/>
      <c r="AF168" s="385">
        <v>-0.1</v>
      </c>
      <c r="AG168" s="390">
        <f>'[2]EA-10%ÚČ'!$G$38</f>
        <v>8.8499999999999995E-2</v>
      </c>
      <c r="AH168" s="21"/>
      <c r="AI168" s="1199"/>
      <c r="AJ168" s="1055">
        <v>-0.1</v>
      </c>
      <c r="AK168" s="1058">
        <f>'[2]EA-10%PN'!$G$38</f>
        <v>9.0899999999999995E-2</v>
      </c>
      <c r="AM168" s="1199"/>
      <c r="AN168" s="1055">
        <v>-0.1</v>
      </c>
      <c r="AO168" s="1058">
        <f>'[2]EA-10%NAD'!$G$38</f>
        <v>9.1499999999999998E-2</v>
      </c>
    </row>
    <row r="169" spans="10:41" x14ac:dyDescent="0.3">
      <c r="J169" s="314" t="s">
        <v>270</v>
      </c>
      <c r="K169" s="316">
        <f>31.3-30.617</f>
        <v>0.68299999999999983</v>
      </c>
      <c r="L169" s="315" t="s">
        <v>145</v>
      </c>
      <c r="M169" s="133" t="s">
        <v>286</v>
      </c>
      <c r="N169" s="133"/>
      <c r="O169" s="133"/>
      <c r="P169" s="133"/>
      <c r="U169" s="1279"/>
      <c r="V169" s="385">
        <v>0</v>
      </c>
      <c r="W169" s="389" t="s">
        <v>122</v>
      </c>
      <c r="X169" s="390">
        <f>[2]EA!$G$38</f>
        <v>9.3299999999999994E-2</v>
      </c>
      <c r="Y169" s="381"/>
      <c r="Z169" s="1279"/>
      <c r="AA169" s="385">
        <v>0</v>
      </c>
      <c r="AB169" s="389" t="s">
        <v>122</v>
      </c>
      <c r="AC169" s="390">
        <f>[2]EA!$G$38</f>
        <v>9.3299999999999994E-2</v>
      </c>
      <c r="AD169" s="377"/>
      <c r="AE169" s="1279"/>
      <c r="AF169" s="385">
        <v>0</v>
      </c>
      <c r="AG169" s="390">
        <f>[2]EA!$G$38</f>
        <v>9.3299999999999994E-2</v>
      </c>
      <c r="AH169" s="21"/>
      <c r="AI169" s="1199"/>
      <c r="AJ169" s="1055">
        <v>0</v>
      </c>
      <c r="AK169" s="1058">
        <f>AG169</f>
        <v>9.3299999999999994E-2</v>
      </c>
      <c r="AM169" s="1199"/>
      <c r="AN169" s="1055">
        <v>0</v>
      </c>
      <c r="AO169" s="1058">
        <f>AK169</f>
        <v>9.3299999999999994E-2</v>
      </c>
    </row>
    <row r="170" spans="10:41" x14ac:dyDescent="0.3">
      <c r="J170" s="314" t="s">
        <v>271</v>
      </c>
      <c r="K170" s="316">
        <f>94.354-94.02288</f>
        <v>0.33111999999999853</v>
      </c>
      <c r="L170" s="315" t="s">
        <v>145</v>
      </c>
      <c r="M170" s="133" t="s">
        <v>287</v>
      </c>
      <c r="N170" s="133"/>
      <c r="O170" s="133"/>
      <c r="P170" s="133"/>
      <c r="U170" s="1279"/>
      <c r="V170" s="385">
        <v>0.1</v>
      </c>
      <c r="W170" s="389" t="s">
        <v>122</v>
      </c>
      <c r="X170" s="390">
        <f>'[2]EA+10%IN'!$G$38</f>
        <v>7.0400000000000004E-2</v>
      </c>
      <c r="Y170" s="381"/>
      <c r="Z170" s="1279"/>
      <c r="AA170" s="385">
        <v>0.1</v>
      </c>
      <c r="AB170" s="389" t="s">
        <v>122</v>
      </c>
      <c r="AC170" s="390">
        <f>'[2]EA+10%Ú+O'!$G$38</f>
        <v>0.1135</v>
      </c>
      <c r="AD170" s="377"/>
      <c r="AE170" s="1279"/>
      <c r="AF170" s="385">
        <v>0.1</v>
      </c>
      <c r="AG170" s="390">
        <f>'[2]EA+10%ÚČ'!$G$38</f>
        <v>9.8100000000000007E-2</v>
      </c>
      <c r="AH170" s="21"/>
      <c r="AI170" s="1199"/>
      <c r="AJ170" s="1055">
        <v>0.1</v>
      </c>
      <c r="AK170" s="1058">
        <f>'[2]EA+10%PN'!$G$38</f>
        <v>9.5799999999999996E-2</v>
      </c>
      <c r="AM170" s="1199"/>
      <c r="AN170" s="1055">
        <v>0.1</v>
      </c>
      <c r="AO170" s="1058">
        <f>'[2]EA+10%NAD'!$G$38</f>
        <v>9.5299999999999996E-2</v>
      </c>
    </row>
    <row r="171" spans="10:41" ht="15" thickBot="1" x14ac:dyDescent="0.35">
      <c r="M171" s="331" t="s">
        <v>288</v>
      </c>
      <c r="N171" s="331"/>
      <c r="O171" s="331"/>
      <c r="U171" s="1280"/>
      <c r="V171" s="391">
        <v>0.2</v>
      </c>
      <c r="W171" s="392" t="s">
        <v>122</v>
      </c>
      <c r="X171" s="393">
        <f>'[2]EA+20%IN'!$G$38</f>
        <v>5.3699999999999998E-2</v>
      </c>
      <c r="Y171" s="381"/>
      <c r="Z171" s="1280"/>
      <c r="AA171" s="391">
        <v>0.2</v>
      </c>
      <c r="AB171" s="392" t="s">
        <v>122</v>
      </c>
      <c r="AC171" s="393">
        <f>'[2]EA+20%Ú+O'!$G$38</f>
        <v>0.13869999999999999</v>
      </c>
      <c r="AD171" s="377"/>
      <c r="AE171" s="1280"/>
      <c r="AF171" s="391">
        <v>0.2</v>
      </c>
      <c r="AG171" s="393">
        <f>'[2]EA+20%ÚČ'!$G$38</f>
        <v>0.1027</v>
      </c>
      <c r="AH171" s="21"/>
      <c r="AI171" s="1200"/>
      <c r="AJ171" s="1059">
        <v>0.2</v>
      </c>
      <c r="AK171" s="1060">
        <f>'[2]EA+20%PN'!$G$38</f>
        <v>9.8100000000000007E-2</v>
      </c>
      <c r="AM171" s="1200"/>
      <c r="AN171" s="1059">
        <v>0.2</v>
      </c>
      <c r="AO171" s="1060">
        <f>'[2]EA+20%NAD'!$G$38</f>
        <v>9.7199999999999995E-2</v>
      </c>
    </row>
    <row r="173" spans="10:41" x14ac:dyDescent="0.3">
      <c r="AH173" s="35"/>
      <c r="AI173" s="36"/>
      <c r="AJ173" s="37"/>
    </row>
    <row r="174" spans="10:41" x14ac:dyDescent="0.3">
      <c r="AH174" s="35"/>
      <c r="AI174" s="38"/>
      <c r="AJ174" s="39"/>
    </row>
    <row r="175" spans="10:41" x14ac:dyDescent="0.3">
      <c r="AH175" s="35"/>
      <c r="AI175" s="40"/>
      <c r="AJ175" s="41"/>
    </row>
    <row r="176" spans="10:41" x14ac:dyDescent="0.3">
      <c r="AH176" s="35"/>
      <c r="AI176" s="40"/>
      <c r="AJ176" s="41"/>
    </row>
    <row r="177" spans="34:41" x14ac:dyDescent="0.3">
      <c r="AH177" s="35"/>
      <c r="AI177" s="40"/>
      <c r="AJ177" s="41"/>
    </row>
    <row r="178" spans="34:41" x14ac:dyDescent="0.3">
      <c r="AH178" s="35"/>
      <c r="AI178" s="40"/>
      <c r="AJ178" s="41"/>
    </row>
    <row r="179" spans="34:41" x14ac:dyDescent="0.3">
      <c r="AH179" s="35"/>
      <c r="AI179" s="40"/>
      <c r="AJ179" s="41"/>
    </row>
    <row r="180" spans="34:41" x14ac:dyDescent="0.3">
      <c r="AH180" s="35"/>
      <c r="AI180" s="40"/>
      <c r="AJ180" s="41"/>
    </row>
    <row r="181" spans="34:41" x14ac:dyDescent="0.3">
      <c r="AH181" s="35"/>
      <c r="AI181" s="40"/>
      <c r="AJ181" s="41"/>
    </row>
    <row r="182" spans="34:41" x14ac:dyDescent="0.3">
      <c r="AH182" s="35"/>
      <c r="AI182" s="40"/>
      <c r="AJ182" s="41"/>
    </row>
    <row r="183" spans="34:41" x14ac:dyDescent="0.3">
      <c r="AH183" s="35"/>
      <c r="AI183" s="40"/>
      <c r="AJ183" s="41"/>
    </row>
    <row r="184" spans="34:41" x14ac:dyDescent="0.3">
      <c r="AH184" s="35"/>
      <c r="AI184" s="42"/>
      <c r="AJ184" s="43"/>
    </row>
    <row r="185" spans="34:41" x14ac:dyDescent="0.3">
      <c r="AH185" s="35"/>
      <c r="AI185" s="42"/>
      <c r="AJ185" s="43"/>
    </row>
    <row r="186" spans="34:41" x14ac:dyDescent="0.3">
      <c r="AH186" s="35"/>
      <c r="AI186" s="42"/>
      <c r="AJ186" s="43"/>
    </row>
    <row r="187" spans="34:41" ht="15" thickBot="1" x14ac:dyDescent="0.35"/>
    <row r="188" spans="34:41" ht="15" thickBot="1" x14ac:dyDescent="0.35">
      <c r="AL188" s="1272" t="s">
        <v>81</v>
      </c>
      <c r="AM188" s="1273"/>
      <c r="AN188" s="1273"/>
      <c r="AO188" s="1274"/>
    </row>
    <row r="189" spans="34:41" ht="15" thickBot="1" x14ac:dyDescent="0.35">
      <c r="AL189" s="1216" t="s">
        <v>82</v>
      </c>
      <c r="AM189" s="1217"/>
      <c r="AN189" s="534">
        <v>2012</v>
      </c>
      <c r="AO189" s="534">
        <v>2017</v>
      </c>
    </row>
    <row r="190" spans="34:41" ht="15" thickBot="1" x14ac:dyDescent="0.35">
      <c r="AL190" s="1247" t="s">
        <v>83</v>
      </c>
      <c r="AM190" s="1248"/>
      <c r="AN190" s="535" t="s">
        <v>84</v>
      </c>
      <c r="AO190" s="535" t="s">
        <v>84</v>
      </c>
    </row>
    <row r="191" spans="34:41" x14ac:dyDescent="0.3">
      <c r="AL191" s="1229" t="s">
        <v>85</v>
      </c>
      <c r="AM191" s="536" t="s">
        <v>86</v>
      </c>
      <c r="AN191" s="537">
        <f>3106</f>
        <v>3106</v>
      </c>
      <c r="AO191" s="537">
        <v>3267.3495408986009</v>
      </c>
    </row>
    <row r="192" spans="34:41" ht="15" hidden="1" customHeight="1" x14ac:dyDescent="0.3">
      <c r="AL192" s="1230"/>
      <c r="AM192" s="538" t="s">
        <v>87</v>
      </c>
      <c r="AN192" s="539">
        <f>3601</f>
        <v>3601</v>
      </c>
      <c r="AO192" s="539">
        <f>AN192*(1+(2*0.02+0.7*(2*0.018+0.03)))*0.912</f>
        <v>3567.2024544000005</v>
      </c>
    </row>
    <row r="193" spans="38:47" ht="15" hidden="1" customHeight="1" x14ac:dyDescent="0.3">
      <c r="AL193" s="1230"/>
      <c r="AM193" s="538" t="s">
        <v>88</v>
      </c>
      <c r="AN193" s="539">
        <f>5290</f>
        <v>5290</v>
      </c>
      <c r="AO193" s="539">
        <f>AN193*(1+(2*0.02+0.7*(2*0.018+0.03)))</f>
        <v>5745.9980000000005</v>
      </c>
    </row>
    <row r="194" spans="38:47" ht="15" hidden="1" customHeight="1" x14ac:dyDescent="0.3">
      <c r="AL194" s="1231"/>
      <c r="AM194" s="538" t="s">
        <v>89</v>
      </c>
      <c r="AN194" s="539">
        <f>5802</f>
        <v>5802</v>
      </c>
      <c r="AO194" s="539">
        <f>AN194*(1+(2*0.02+0.7*(2*0.018+0.03)))*0.912</f>
        <v>5747.5447488000009</v>
      </c>
    </row>
    <row r="195" spans="38:47" ht="15" thickBot="1" x14ac:dyDescent="0.35">
      <c r="AL195" s="540" t="s">
        <v>90</v>
      </c>
      <c r="AM195" s="541" t="s">
        <v>86</v>
      </c>
      <c r="AN195" s="542">
        <f>AN191</f>
        <v>3106</v>
      </c>
      <c r="AO195" s="542">
        <v>3267.3495408986009</v>
      </c>
      <c r="AQ195" s="879" t="s">
        <v>707</v>
      </c>
    </row>
    <row r="196" spans="38:47" ht="15" customHeight="1" thickBot="1" x14ac:dyDescent="0.35">
      <c r="AQ196" s="130" t="s">
        <v>91</v>
      </c>
      <c r="AR196" s="131" t="s">
        <v>92</v>
      </c>
      <c r="AS196" s="895" t="s">
        <v>93</v>
      </c>
      <c r="AT196" s="132" t="s">
        <v>632</v>
      </c>
    </row>
    <row r="197" spans="38:47" ht="15" customHeight="1" x14ac:dyDescent="0.3">
      <c r="AQ197" s="871" t="str">
        <f>'[5]3PS'!$B$13</f>
        <v>PS 01-28-01</v>
      </c>
      <c r="AR197" s="872" t="str">
        <f>'[5]3PS'!$C$13</f>
        <v>ŽST Tišnov, staniční zabezpečovací zařízení</v>
      </c>
      <c r="AS197" s="888" t="str">
        <f>'[5]3PS'!$D$13</f>
        <v>SŽDC</v>
      </c>
      <c r="AT197" s="869">
        <f>'[6]3PS'!G13/1000</f>
        <v>172360.35535</v>
      </c>
      <c r="AU197" s="927"/>
    </row>
    <row r="198" spans="38:47" ht="15" customHeight="1" x14ac:dyDescent="0.3">
      <c r="AQ198" s="871" t="str">
        <f>'[5]3PS'!$B$14</f>
        <v>PS 03-28-01</v>
      </c>
      <c r="AR198" s="874" t="s">
        <v>633</v>
      </c>
      <c r="AS198" s="889" t="str">
        <f>'[5]3PS'!$D$14</f>
        <v>SŽDC</v>
      </c>
      <c r="AT198" s="869">
        <f>'[6]3PS'!G14/1000</f>
        <v>37809.035240000005</v>
      </c>
      <c r="AU198" s="927"/>
    </row>
    <row r="199" spans="38:47" ht="15" customHeight="1" x14ac:dyDescent="0.3">
      <c r="AQ199" s="871" t="str">
        <f>'[5]3PS'!$B$15</f>
        <v>PS 04-28-01</v>
      </c>
      <c r="AR199" s="874" t="s">
        <v>634</v>
      </c>
      <c r="AS199" s="889" t="str">
        <f>'[5]3PS'!$D$15</f>
        <v>SŽDC</v>
      </c>
      <c r="AT199" s="869">
        <f>'[6]3PS'!G15/1000</f>
        <v>22686.404180000001</v>
      </c>
      <c r="AU199" s="927"/>
    </row>
    <row r="200" spans="38:47" ht="15" customHeight="1" x14ac:dyDescent="0.3">
      <c r="AQ200" s="871" t="str">
        <f>'[5]3PS'!$B$16</f>
        <v>PS 01-14-01</v>
      </c>
      <c r="AR200" s="874" t="s">
        <v>635</v>
      </c>
      <c r="AS200" s="889" t="str">
        <f>'[5]3PS'!$D$16</f>
        <v>SŽDC</v>
      </c>
      <c r="AT200" s="869">
        <f>'[6]3PS'!G16/1000</f>
        <v>8160.2</v>
      </c>
      <c r="AU200" s="927"/>
    </row>
    <row r="201" spans="38:47" ht="15" customHeight="1" x14ac:dyDescent="0.3">
      <c r="AQ201" s="873" t="str">
        <f>'[5]3PS'!$B$17</f>
        <v>PS 01-14-02</v>
      </c>
      <c r="AR201" s="874" t="s">
        <v>636</v>
      </c>
      <c r="AS201" s="889" t="str">
        <f>'[5]3PS'!$D$17</f>
        <v>SŽDC</v>
      </c>
      <c r="AT201" s="869">
        <f>'[6]3PS'!G17/1000</f>
        <v>3302.57575</v>
      </c>
      <c r="AU201" s="927"/>
    </row>
    <row r="202" spans="38:47" ht="15" customHeight="1" x14ac:dyDescent="0.3">
      <c r="AQ202" s="873" t="str">
        <f>'[5]3PS'!$B$18</f>
        <v>PS 03-14-01</v>
      </c>
      <c r="AR202" s="874" t="s">
        <v>637</v>
      </c>
      <c r="AS202" s="889" t="str">
        <f>'[5]3PS'!$D$18</f>
        <v>SŽDC</v>
      </c>
      <c r="AT202" s="869">
        <f>'[6]3PS'!G18/1000</f>
        <v>15141.657999999999</v>
      </c>
      <c r="AU202" s="927"/>
    </row>
    <row r="203" spans="38:47" ht="15" customHeight="1" x14ac:dyDescent="0.3">
      <c r="AQ203" s="873" t="str">
        <f>'[5]3PS'!$B$19</f>
        <v>PS 04-14-01</v>
      </c>
      <c r="AR203" s="874" t="s">
        <v>638</v>
      </c>
      <c r="AS203" s="889" t="str">
        <f>'[5]3PS'!$D$19</f>
        <v>SŽDC</v>
      </c>
      <c r="AT203" s="869">
        <f>'[6]3PS'!G19/1000</f>
        <v>20881.629000000001</v>
      </c>
      <c r="AU203" s="927"/>
    </row>
    <row r="204" spans="38:47" ht="15" customHeight="1" x14ac:dyDescent="0.3">
      <c r="AQ204" s="873" t="str">
        <f>'[5]3PS'!$B$20</f>
        <v>PS 04-14-02</v>
      </c>
      <c r="AR204" s="874" t="s">
        <v>639</v>
      </c>
      <c r="AS204" s="889" t="str">
        <f>'[5]3PS'!$D$20</f>
        <v>SŽDC</v>
      </c>
      <c r="AT204" s="869">
        <f>'[6]3PS'!G20/1000</f>
        <v>4922.6109999999999</v>
      </c>
      <c r="AU204" s="927"/>
    </row>
    <row r="205" spans="38:47" ht="15" customHeight="1" x14ac:dyDescent="0.3">
      <c r="AQ205" s="873" t="str">
        <f>'[5]3PS'!$B$21</f>
        <v>PS 01-14-03</v>
      </c>
      <c r="AR205" s="874" t="s">
        <v>640</v>
      </c>
      <c r="AS205" s="889" t="str">
        <f>'[5]3PS'!$D$21</f>
        <v>SŽDC</v>
      </c>
      <c r="AT205" s="869">
        <f>'[6]3PS'!G21/1000</f>
        <v>1114.5</v>
      </c>
      <c r="AU205" s="927"/>
    </row>
    <row r="206" spans="38:47" ht="15" customHeight="1" x14ac:dyDescent="0.3">
      <c r="AQ206" s="873" t="str">
        <f>'[5]3PS'!$B$22</f>
        <v>PS 01-14-04</v>
      </c>
      <c r="AR206" s="874" t="s">
        <v>641</v>
      </c>
      <c r="AS206" s="889" t="str">
        <f>'[5]3PS'!$D$22</f>
        <v>SŽDC</v>
      </c>
      <c r="AT206" s="869">
        <f>'[6]3PS'!G22/1000</f>
        <v>2471.212</v>
      </c>
      <c r="AU206" s="927"/>
    </row>
    <row r="207" spans="38:47" ht="15" customHeight="1" x14ac:dyDescent="0.3">
      <c r="AQ207" s="873" t="str">
        <f>'[5]3PS'!$B$23</f>
        <v>PS 01-14-05</v>
      </c>
      <c r="AR207" s="874" t="s">
        <v>642</v>
      </c>
      <c r="AS207" s="889" t="str">
        <f>'[5]3PS'!$D$23</f>
        <v>SŽDC</v>
      </c>
      <c r="AT207" s="869">
        <f>'[6]3PS'!G23/1000</f>
        <v>810</v>
      </c>
      <c r="AU207" s="927"/>
    </row>
    <row r="208" spans="38:47" ht="15" customHeight="1" x14ac:dyDescent="0.3">
      <c r="AQ208" s="873" t="str">
        <f>'[5]3PS'!$B$24</f>
        <v>PS 01-14-06</v>
      </c>
      <c r="AR208" s="874" t="s">
        <v>643</v>
      </c>
      <c r="AS208" s="889" t="str">
        <f>'[5]3PS'!$D$24</f>
        <v>SŽDC</v>
      </c>
      <c r="AT208" s="869">
        <f>'[6]3PS'!G24/1000</f>
        <v>548.9</v>
      </c>
      <c r="AU208" s="927"/>
    </row>
    <row r="209" spans="43:63" ht="15" customHeight="1" x14ac:dyDescent="0.3">
      <c r="AQ209" s="873" t="str">
        <f>'[5]3PS'!$B$25</f>
        <v>PS 01-14-07</v>
      </c>
      <c r="AR209" s="874" t="s">
        <v>644</v>
      </c>
      <c r="AS209" s="889" t="str">
        <f>'[5]3PS'!$D$25</f>
        <v>SŽDC</v>
      </c>
      <c r="AT209" s="869">
        <f>'[6]3PS'!G25/1000</f>
        <v>1872.2</v>
      </c>
      <c r="AU209" s="927"/>
    </row>
    <row r="210" spans="43:63" ht="15" customHeight="1" x14ac:dyDescent="0.3">
      <c r="AQ210" s="873" t="str">
        <f>'[5]3PS'!$B$26</f>
        <v>PS 01-14-08</v>
      </c>
      <c r="AR210" s="874" t="s">
        <v>645</v>
      </c>
      <c r="AS210" s="889" t="str">
        <f>'[5]3PS'!$D$26</f>
        <v>SŽDC</v>
      </c>
      <c r="AT210" s="869">
        <f>'[6]3PS'!G26/1000</f>
        <v>21227.1</v>
      </c>
      <c r="AU210" s="927"/>
    </row>
    <row r="211" spans="43:63" ht="15" customHeight="1" x14ac:dyDescent="0.3">
      <c r="AQ211" s="873" t="str">
        <f>'[5]3PS'!$B$27</f>
        <v>PS 01-14-09</v>
      </c>
      <c r="AR211" s="874" t="s">
        <v>646</v>
      </c>
      <c r="AS211" s="889" t="str">
        <f>'[5]3PS'!$D$27</f>
        <v>SŽDC</v>
      </c>
      <c r="AT211" s="869">
        <f>'[6]3PS'!G27/1000</f>
        <v>5283.9</v>
      </c>
      <c r="AU211" s="927"/>
    </row>
    <row r="212" spans="43:63" ht="15" customHeight="1" x14ac:dyDescent="0.3">
      <c r="AQ212" s="873" t="str">
        <f>'[5]3PS'!$B$28</f>
        <v>PS 01-14-10</v>
      </c>
      <c r="AR212" s="874" t="s">
        <v>647</v>
      </c>
      <c r="AS212" s="889" t="str">
        <f>'[5]3PS'!$D$28</f>
        <v>SŽDC</v>
      </c>
      <c r="AT212" s="869">
        <f>'[6]3PS'!G28/1000</f>
        <v>566.89</v>
      </c>
      <c r="AU212" s="927"/>
    </row>
    <row r="213" spans="43:63" ht="15" customHeight="1" x14ac:dyDescent="0.3">
      <c r="AQ213" s="873" t="str">
        <f>'[5]3PS'!$B$29</f>
        <v>PS 01-14-11</v>
      </c>
      <c r="AR213" s="874" t="s">
        <v>648</v>
      </c>
      <c r="AS213" s="889" t="str">
        <f>'[5]3PS'!$D$29</f>
        <v>SŽDC</v>
      </c>
      <c r="AT213" s="869">
        <f>'[6]3PS'!G29/1000</f>
        <v>1913.5</v>
      </c>
      <c r="AU213" s="927"/>
    </row>
    <row r="214" spans="43:63" ht="15" customHeight="1" x14ac:dyDescent="0.3">
      <c r="AQ214" s="873" t="str">
        <f>'[5]3PS'!$B$30</f>
        <v>PS 01-05-01</v>
      </c>
      <c r="AR214" s="874" t="s">
        <v>649</v>
      </c>
      <c r="AS214" s="889" t="str">
        <f>'[5]3PS'!$D$30</f>
        <v>SŽDC</v>
      </c>
      <c r="AT214" s="869">
        <f>'[6]3PS'!G30/1000</f>
        <v>5887.8180000000002</v>
      </c>
      <c r="AU214" s="927"/>
      <c r="AV214" s="35" t="s">
        <v>939</v>
      </c>
    </row>
    <row r="215" spans="43:63" ht="15" customHeight="1" thickBot="1" x14ac:dyDescent="0.35">
      <c r="AQ215" s="873" t="str">
        <f>'[5]3PS'!$B$31</f>
        <v>PS 01-13-01</v>
      </c>
      <c r="AR215" s="874" t="s">
        <v>650</v>
      </c>
      <c r="AS215" s="889" t="str">
        <f>'[5]3PS'!$D$31</f>
        <v>SŽDC</v>
      </c>
      <c r="AT215" s="869">
        <f>'[6]3PS'!G31/1000</f>
        <v>252.65</v>
      </c>
      <c r="AU215" s="927"/>
    </row>
    <row r="216" spans="43:63" ht="15" customHeight="1" x14ac:dyDescent="0.3">
      <c r="AQ216" s="873" t="str">
        <f>'[5]3PS'!$B$32</f>
        <v>PS 01-13-02</v>
      </c>
      <c r="AR216" s="874" t="s">
        <v>651</v>
      </c>
      <c r="AS216" s="889" t="str">
        <f>'[5]3PS'!$D$32</f>
        <v>SŽDC</v>
      </c>
      <c r="AT216" s="869">
        <f>'[6]3PS'!G32/1000</f>
        <v>1793</v>
      </c>
      <c r="AU216" s="927"/>
      <c r="AV216" s="503" t="s">
        <v>95</v>
      </c>
      <c r="AW216" s="504">
        <v>2020</v>
      </c>
      <c r="AX216" s="508" t="s">
        <v>908</v>
      </c>
      <c r="AY216" s="253"/>
      <c r="AZ216" s="254"/>
    </row>
    <row r="217" spans="43:63" ht="15" customHeight="1" thickBot="1" x14ac:dyDescent="0.35">
      <c r="AQ217" s="873" t="str">
        <f>'[5]3PS'!$B$33</f>
        <v>PS 01-13-03</v>
      </c>
      <c r="AR217" s="874" t="s">
        <v>652</v>
      </c>
      <c r="AS217" s="889" t="str">
        <f>'[5]3PS'!$D$33</f>
        <v>SŽDC</v>
      </c>
      <c r="AT217" s="869">
        <f>'[6]3PS'!G33/1000</f>
        <v>62.450400000000002</v>
      </c>
      <c r="AU217" s="927"/>
      <c r="AV217" s="505" t="s">
        <v>94</v>
      </c>
      <c r="AW217" s="506">
        <f>'[7]0 Úvod'!$N$66</f>
        <v>3.4000000000000002E-2</v>
      </c>
      <c r="AX217" s="509">
        <f>AW217</f>
        <v>3.4000000000000002E-2</v>
      </c>
      <c r="AY217" s="507"/>
      <c r="AZ217" s="255"/>
    </row>
    <row r="218" spans="43:63" ht="15" customHeight="1" thickBot="1" x14ac:dyDescent="0.35">
      <c r="AQ218" s="873" t="str">
        <f>'[5]3PS'!$B$34</f>
        <v>PS 01-09-01</v>
      </c>
      <c r="AR218" s="874" t="s">
        <v>653</v>
      </c>
      <c r="AS218" s="889" t="str">
        <f>'[5]3PS'!$D$34</f>
        <v>SŽDC</v>
      </c>
      <c r="AT218" s="869">
        <f>'[6]3PS'!G34/1000</f>
        <v>11028.985000000001</v>
      </c>
      <c r="AU218" s="927"/>
      <c r="BB218" s="1226" t="s">
        <v>100</v>
      </c>
      <c r="BC218" s="1227"/>
      <c r="BD218" s="1227"/>
      <c r="BE218" s="1227"/>
      <c r="BF218" s="1228"/>
      <c r="BH218" s="47" t="s">
        <v>112</v>
      </c>
      <c r="BI218" s="48"/>
      <c r="BJ218" s="48"/>
      <c r="BK218" s="48"/>
    </row>
    <row r="219" spans="43:63" ht="15" customHeight="1" thickBot="1" x14ac:dyDescent="0.35">
      <c r="AQ219" s="873" t="str">
        <f>'[5]3PS'!$B$35</f>
        <v>PS 01-09-02</v>
      </c>
      <c r="AR219" s="874" t="s">
        <v>654</v>
      </c>
      <c r="AS219" s="889" t="str">
        <f>'[5]3PS'!$D$35</f>
        <v>SŽDC</v>
      </c>
      <c r="AT219" s="869">
        <f>'[6]3PS'!G35/1000</f>
        <v>58.244550000000004</v>
      </c>
      <c r="AU219" s="927"/>
      <c r="BB219" s="110" t="s">
        <v>95</v>
      </c>
      <c r="BC219" s="111">
        <v>2015</v>
      </c>
      <c r="BD219" s="112" t="s">
        <v>102</v>
      </c>
      <c r="BE219" s="111" t="s">
        <v>104</v>
      </c>
      <c r="BF219" s="113" t="s">
        <v>103</v>
      </c>
      <c r="BH219" s="48"/>
      <c r="BI219" s="48"/>
      <c r="BJ219" s="48"/>
      <c r="BK219" s="48"/>
    </row>
    <row r="220" spans="43:63" ht="15" customHeight="1" x14ac:dyDescent="0.3">
      <c r="AQ220" s="873" t="str">
        <f>'[5]3PS'!$B$36</f>
        <v>PS 01-08-01</v>
      </c>
      <c r="AR220" s="874" t="s">
        <v>655</v>
      </c>
      <c r="AS220" s="889" t="str">
        <f>'[5]3PS'!$D$36</f>
        <v>SŽDC</v>
      </c>
      <c r="AT220" s="869">
        <f>'[6]3PS'!G36/1000</f>
        <v>8277.8903600000012</v>
      </c>
      <c r="AU220" s="927"/>
      <c r="BB220" s="114" t="s">
        <v>101</v>
      </c>
      <c r="BC220" s="115">
        <v>0</v>
      </c>
      <c r="BD220" s="115">
        <v>1.2</v>
      </c>
      <c r="BE220" s="115">
        <v>1.2</v>
      </c>
      <c r="BF220" s="116">
        <v>1.2</v>
      </c>
      <c r="BH220" s="1249"/>
      <c r="BI220" s="1251" t="s">
        <v>39</v>
      </c>
      <c r="BJ220" s="1252"/>
      <c r="BK220" s="1253"/>
    </row>
    <row r="221" spans="43:63" ht="15" customHeight="1" thickBot="1" x14ac:dyDescent="0.35">
      <c r="AQ221" s="873" t="str">
        <f>'[5]3PS'!$B$37</f>
        <v>PS 01-08-01.1</v>
      </c>
      <c r="AR221" s="874" t="s">
        <v>656</v>
      </c>
      <c r="AS221" s="889" t="str">
        <f>'[5]3PS'!$D$37</f>
        <v>SŽDC</v>
      </c>
      <c r="AT221" s="869">
        <f>'[6]3PS'!G37/1000</f>
        <v>1134.8462</v>
      </c>
      <c r="AU221" s="927"/>
      <c r="BB221" s="117" t="s">
        <v>96</v>
      </c>
      <c r="BC221" s="115">
        <v>6</v>
      </c>
      <c r="BD221" s="115">
        <v>0</v>
      </c>
      <c r="BE221" s="115">
        <v>0</v>
      </c>
      <c r="BF221" s="116">
        <v>0</v>
      </c>
      <c r="BH221" s="1250"/>
      <c r="BI221" s="401">
        <v>-0.1</v>
      </c>
      <c r="BJ221" s="402">
        <v>0.1</v>
      </c>
      <c r="BK221" s="403"/>
    </row>
    <row r="222" spans="43:63" ht="15" customHeight="1" thickBot="1" x14ac:dyDescent="0.35">
      <c r="AQ222" s="873" t="str">
        <f>'[5]3PS'!$B$38</f>
        <v>PS 01-07-01</v>
      </c>
      <c r="AR222" s="874" t="s">
        <v>657</v>
      </c>
      <c r="AS222" s="889" t="str">
        <f>'[5]3PS'!$D$38</f>
        <v>SŽDC</v>
      </c>
      <c r="AT222" s="869">
        <f>'[6]3PS'!G38/1000</f>
        <v>1503</v>
      </c>
      <c r="AU222" s="927"/>
      <c r="BB222" s="118" t="s">
        <v>97</v>
      </c>
      <c r="BC222" s="119"/>
      <c r="BD222" s="119"/>
      <c r="BE222" s="119"/>
      <c r="BF222" s="120">
        <v>6</v>
      </c>
      <c r="BH222" s="404" t="s">
        <v>109</v>
      </c>
      <c r="BI222" s="405">
        <f>'[2]EA-10%ÚČ'!$G$38</f>
        <v>8.8499999999999995E-2</v>
      </c>
      <c r="BJ222" s="406">
        <f>'[2]EA+10%ÚČ'!$G$38</f>
        <v>9.8100000000000007E-2</v>
      </c>
      <c r="BK222" s="407"/>
    </row>
    <row r="223" spans="43:63" ht="15" customHeight="1" thickBot="1" x14ac:dyDescent="0.35">
      <c r="AQ223" s="876" t="str">
        <f>'[5]3PS'!$B$39</f>
        <v>PS 01-07-01.1</v>
      </c>
      <c r="AR223" s="877" t="s">
        <v>658</v>
      </c>
      <c r="AS223" s="890" t="str">
        <f>'[5]3PS'!$D$39</f>
        <v>SŽDC</v>
      </c>
      <c r="AT223" s="870">
        <f>'[6]3PS'!G39/1000</f>
        <v>506</v>
      </c>
      <c r="AU223" s="875">
        <f>SUM(AT197:AT223)*1000</f>
        <v>351577555.03000003</v>
      </c>
      <c r="BB223" s="121"/>
      <c r="BC223" s="121"/>
      <c r="BD223" s="121"/>
      <c r="BE223" s="121"/>
      <c r="BF223" s="121"/>
      <c r="BH223" s="408" t="s">
        <v>108</v>
      </c>
      <c r="BI223" s="409">
        <f>'[2]EA-10%ÚČ'!$G$37</f>
        <v>266193.20116497495</v>
      </c>
      <c r="BJ223" s="410">
        <f>'[2]EA+10%ÚČ'!$G$37</f>
        <v>344591.72759690811</v>
      </c>
      <c r="BK223" s="411"/>
    </row>
    <row r="224" spans="43:63" ht="15" thickBot="1" x14ac:dyDescent="0.35">
      <c r="BB224" s="1226" t="s">
        <v>98</v>
      </c>
      <c r="BC224" s="1227"/>
      <c r="BD224" s="1227"/>
      <c r="BE224" s="1227"/>
      <c r="BF224" s="1228"/>
      <c r="BH224" s="412" t="s">
        <v>35</v>
      </c>
      <c r="BI224" s="413">
        <f>'[2]EA-10%ÚČ'!$G$39</f>
        <v>1.183787629847239</v>
      </c>
      <c r="BJ224" s="414">
        <f>'[2]EA+10%ÚČ'!$G$39</f>
        <v>1.2379162826204233</v>
      </c>
      <c r="BK224" s="415"/>
    </row>
    <row r="225" spans="43:74" ht="15" customHeight="1" thickBot="1" x14ac:dyDescent="0.35">
      <c r="AQ225" s="130" t="s">
        <v>91</v>
      </c>
      <c r="AR225" s="131" t="s">
        <v>92</v>
      </c>
      <c r="AS225" s="895" t="s">
        <v>93</v>
      </c>
      <c r="AT225" s="132" t="s">
        <v>632</v>
      </c>
      <c r="BB225" s="110" t="s">
        <v>95</v>
      </c>
      <c r="BC225" s="111" t="s">
        <v>105</v>
      </c>
      <c r="BD225" s="111">
        <v>2018</v>
      </c>
      <c r="BE225" s="111" t="s">
        <v>106</v>
      </c>
      <c r="BF225" s="113">
        <v>2033</v>
      </c>
    </row>
    <row r="226" spans="43:74" ht="15" customHeight="1" x14ac:dyDescent="0.3">
      <c r="AQ226" s="880" t="s">
        <v>659</v>
      </c>
      <c r="AR226" s="881" t="s">
        <v>660</v>
      </c>
      <c r="AS226" s="882" t="s">
        <v>661</v>
      </c>
      <c r="AT226" s="883">
        <f>'[6]3SO'!G14/1000</f>
        <v>160989.07319999998</v>
      </c>
      <c r="AU226" s="927"/>
      <c r="BB226" s="117" t="s">
        <v>99</v>
      </c>
      <c r="BC226" s="115">
        <v>1.2</v>
      </c>
      <c r="BD226" s="115">
        <v>1.2</v>
      </c>
      <c r="BE226" s="115">
        <v>1.2</v>
      </c>
      <c r="BF226" s="116">
        <v>0</v>
      </c>
    </row>
    <row r="227" spans="43:74" ht="15" customHeight="1" x14ac:dyDescent="0.3">
      <c r="AQ227" s="884" t="s">
        <v>662</v>
      </c>
      <c r="AR227" s="874" t="s">
        <v>663</v>
      </c>
      <c r="AS227" s="878" t="s">
        <v>661</v>
      </c>
      <c r="AT227" s="869">
        <f>'[6]3SO'!G15/1000</f>
        <v>387832.58594999998</v>
      </c>
      <c r="AU227" s="927"/>
      <c r="BB227" s="117" t="s">
        <v>96</v>
      </c>
      <c r="BC227" s="115">
        <v>0</v>
      </c>
      <c r="BD227" s="115">
        <v>6</v>
      </c>
      <c r="BE227" s="115">
        <v>0</v>
      </c>
      <c r="BF227" s="116">
        <v>6</v>
      </c>
      <c r="BH227" s="47" t="s">
        <v>112</v>
      </c>
      <c r="BI227" s="48"/>
      <c r="BJ227" s="48"/>
      <c r="BK227" s="48"/>
      <c r="BL227" s="48"/>
      <c r="BM227" s="47" t="s">
        <v>113</v>
      </c>
      <c r="BN227" s="48"/>
      <c r="BO227" s="48"/>
      <c r="BP227" s="48"/>
    </row>
    <row r="228" spans="43:74" ht="15" customHeight="1" thickBot="1" x14ac:dyDescent="0.35">
      <c r="AQ228" s="884" t="s">
        <v>664</v>
      </c>
      <c r="AR228" s="874" t="s">
        <v>665</v>
      </c>
      <c r="AS228" s="878" t="s">
        <v>661</v>
      </c>
      <c r="AT228" s="869">
        <f>'[6]3SO'!G16/1000</f>
        <v>337.94135</v>
      </c>
      <c r="AU228" s="927"/>
      <c r="BB228" s="118" t="s">
        <v>97</v>
      </c>
      <c r="BC228" s="119"/>
      <c r="BD228" s="119"/>
      <c r="BE228" s="119">
        <v>6</v>
      </c>
      <c r="BF228" s="120"/>
      <c r="BH228" s="48"/>
      <c r="BI228" s="48"/>
      <c r="BJ228" s="48"/>
      <c r="BK228" s="48"/>
      <c r="BL228" s="48"/>
      <c r="BM228" s="48"/>
      <c r="BN228" s="48"/>
      <c r="BO228" s="48"/>
      <c r="BP228" s="48"/>
    </row>
    <row r="229" spans="43:74" ht="15" customHeight="1" x14ac:dyDescent="0.3">
      <c r="AQ229" s="884" t="s">
        <v>666</v>
      </c>
      <c r="AR229" s="874" t="s">
        <v>667</v>
      </c>
      <c r="AS229" s="878" t="s">
        <v>661</v>
      </c>
      <c r="AT229" s="869">
        <f>'[6]3SO'!G17/1000</f>
        <v>18428.399000000001</v>
      </c>
      <c r="AU229" s="927"/>
      <c r="BH229" s="1221"/>
      <c r="BI229" s="1218" t="s">
        <v>38</v>
      </c>
      <c r="BJ229" s="1219"/>
      <c r="BK229" s="1220"/>
      <c r="BL229" s="48"/>
      <c r="BM229" s="1221"/>
      <c r="BN229" s="1218" t="s">
        <v>38</v>
      </c>
      <c r="BO229" s="1219"/>
      <c r="BP229" s="1220"/>
    </row>
    <row r="230" spans="43:74" ht="15" customHeight="1" thickBot="1" x14ac:dyDescent="0.35">
      <c r="AQ230" s="884" t="s">
        <v>668</v>
      </c>
      <c r="AR230" s="874" t="s">
        <v>669</v>
      </c>
      <c r="AS230" s="878" t="s">
        <v>661</v>
      </c>
      <c r="AT230" s="869">
        <f>'[6]3SO'!G18/1000</f>
        <v>4890.5266799999999</v>
      </c>
      <c r="AU230" s="927"/>
      <c r="BB230" s="17"/>
      <c r="BC230" s="17"/>
      <c r="BD230" s="17"/>
      <c r="BE230" s="17"/>
      <c r="BF230" s="17"/>
      <c r="BH230" s="1222"/>
      <c r="BI230" s="49">
        <v>0.1</v>
      </c>
      <c r="BJ230" s="50">
        <v>-0.1</v>
      </c>
      <c r="BK230" s="51">
        <f>'[2]EA_IN přepínací'!$E$1</f>
        <v>0.21071759280393398</v>
      </c>
      <c r="BL230" s="48"/>
      <c r="BM230" s="1222"/>
      <c r="BN230" s="50">
        <v>-0.1</v>
      </c>
      <c r="BO230" s="50">
        <v>-0.2</v>
      </c>
      <c r="BP230" s="51">
        <f>[2]FA_IN_přepínací!$E$1</f>
        <v>-0.29826405576085635</v>
      </c>
    </row>
    <row r="231" spans="43:74" ht="15" customHeight="1" x14ac:dyDescent="0.3">
      <c r="AQ231" s="884" t="s">
        <v>670</v>
      </c>
      <c r="AR231" s="874" t="s">
        <v>671</v>
      </c>
      <c r="AS231" s="878" t="s">
        <v>661</v>
      </c>
      <c r="AT231" s="869">
        <f>'[6]3SO'!G19/1000</f>
        <v>1460.7950000000001</v>
      </c>
      <c r="AU231" s="927"/>
      <c r="BB231" s="17"/>
      <c r="BC231" s="17"/>
      <c r="BD231" s="17"/>
      <c r="BE231" s="17"/>
      <c r="BF231" s="17"/>
      <c r="BH231" s="52" t="s">
        <v>109</v>
      </c>
      <c r="BI231" s="394">
        <f>'[2]EA+10%IN'!$G$38</f>
        <v>7.0400000000000004E-2</v>
      </c>
      <c r="BJ231" s="395">
        <f>'[2]EA-10%IN'!$G$38</f>
        <v>0.12709999999999999</v>
      </c>
      <c r="BK231" s="396">
        <f>'[2]EA_IN přepínací'!$G$38</f>
        <v>0.05</v>
      </c>
      <c r="BL231" s="48"/>
      <c r="BM231" s="52" t="s">
        <v>110</v>
      </c>
      <c r="BN231" s="725" t="s">
        <v>122</v>
      </c>
      <c r="BO231" s="726" t="s">
        <v>122</v>
      </c>
      <c r="BP231" s="396">
        <f>[2]FA_IN_přepínací!$E$38</f>
        <v>0.04</v>
      </c>
    </row>
    <row r="232" spans="43:74" ht="15" customHeight="1" thickBot="1" x14ac:dyDescent="0.35">
      <c r="AQ232" s="884" t="s">
        <v>672</v>
      </c>
      <c r="AR232" s="874" t="s">
        <v>673</v>
      </c>
      <c r="AS232" s="878" t="s">
        <v>661</v>
      </c>
      <c r="AT232" s="869">
        <f>'[6]3SO'!G20/1000</f>
        <v>7362.5513099999998</v>
      </c>
      <c r="AU232" s="927"/>
      <c r="BB232" s="17"/>
      <c r="BC232" s="17"/>
      <c r="BD232" s="17"/>
      <c r="BE232" s="17"/>
      <c r="BF232" s="17"/>
      <c r="BH232" s="53" t="s">
        <v>108</v>
      </c>
      <c r="BI232" s="397">
        <f>'[2]EA+10%IN'!$G$37</f>
        <v>170868.61219999639</v>
      </c>
      <c r="BJ232" s="398">
        <f>'[2]EA-10%IN'!$G$37</f>
        <v>439916.31656188663</v>
      </c>
      <c r="BK232" s="399">
        <f>'[2]EA_IN přepínací'!$G$37</f>
        <v>194.60848128641373</v>
      </c>
      <c r="BL232" s="48"/>
      <c r="BM232" s="54" t="s">
        <v>111</v>
      </c>
      <c r="BN232" s="416">
        <f>'[2]FA-10%IN'!$E$37</f>
        <v>-357332.93564922892</v>
      </c>
      <c r="BO232" s="417">
        <f>'[2]FA-20%IN'!$E$37</f>
        <v>-177102.1145465679</v>
      </c>
      <c r="BP232" s="418">
        <f>[2]FA_IN_přepínací!$E$37</f>
        <v>0</v>
      </c>
    </row>
    <row r="233" spans="43:74" ht="15" customHeight="1" thickBot="1" x14ac:dyDescent="0.35">
      <c r="AQ233" s="884" t="s">
        <v>674</v>
      </c>
      <c r="AR233" s="874" t="s">
        <v>675</v>
      </c>
      <c r="AS233" s="878" t="s">
        <v>661</v>
      </c>
      <c r="AT233" s="869">
        <f>'[6]3SO'!G21/1000</f>
        <v>1812.318</v>
      </c>
      <c r="AU233" s="927"/>
      <c r="BB233" s="17"/>
      <c r="BC233" s="17"/>
      <c r="BD233" s="17"/>
      <c r="BE233" s="17"/>
      <c r="BF233" s="17"/>
      <c r="BH233" s="54" t="s">
        <v>35</v>
      </c>
      <c r="BI233" s="545">
        <f>'[2]EA+10%IN'!$G$39</f>
        <v>1.1072479315914812</v>
      </c>
      <c r="BJ233" s="544">
        <f>'[2]EA-10%IN'!$G$39</f>
        <v>1.3374790974633699</v>
      </c>
      <c r="BK233" s="400">
        <f>'[2]EA_IN přepínací'!$G$39</f>
        <v>1.0001109783410231</v>
      </c>
      <c r="BL233" s="48"/>
      <c r="BM233" s="55"/>
      <c r="BN233" s="56"/>
      <c r="BO233" s="56"/>
      <c r="BP233" s="56"/>
    </row>
    <row r="234" spans="43:74" ht="15" customHeight="1" x14ac:dyDescent="0.3">
      <c r="AQ234" s="884" t="s">
        <v>676</v>
      </c>
      <c r="AR234" s="874" t="s">
        <v>677</v>
      </c>
      <c r="AS234" s="878" t="s">
        <v>661</v>
      </c>
      <c r="AT234" s="869">
        <f>'[6]3SO'!G22/1000</f>
        <v>22697.45</v>
      </c>
      <c r="AU234" s="927"/>
      <c r="BB234" s="17"/>
      <c r="BC234" s="17"/>
      <c r="BD234" s="17"/>
      <c r="BE234" s="17"/>
      <c r="BF234" s="17"/>
    </row>
    <row r="235" spans="43:74" ht="15" customHeight="1" x14ac:dyDescent="0.3">
      <c r="AQ235" s="884" t="s">
        <v>678</v>
      </c>
      <c r="AR235" s="874" t="s">
        <v>679</v>
      </c>
      <c r="AS235" s="878" t="s">
        <v>661</v>
      </c>
      <c r="AT235" s="869">
        <f>'[6]3SO'!G23/1000</f>
        <v>21738.845379999999</v>
      </c>
      <c r="AU235" s="927"/>
      <c r="BR235" s="79" t="s">
        <v>13</v>
      </c>
      <c r="BS235" s="79"/>
      <c r="BT235" s="79"/>
      <c r="BU235" s="80"/>
      <c r="BV235" s="80"/>
    </row>
    <row r="236" spans="43:74" ht="15" customHeight="1" thickBot="1" x14ac:dyDescent="0.35">
      <c r="AQ236" s="884" t="s">
        <v>680</v>
      </c>
      <c r="AR236" s="874" t="s">
        <v>681</v>
      </c>
      <c r="AS236" s="878" t="s">
        <v>661</v>
      </c>
      <c r="AT236" s="869">
        <f>'[6]3SO'!G24/1000</f>
        <v>13247.787</v>
      </c>
      <c r="AU236" s="927"/>
      <c r="BR236" s="81"/>
      <c r="BS236" s="81"/>
      <c r="BT236" s="81"/>
      <c r="BU236" s="80"/>
      <c r="BV236" s="80"/>
    </row>
    <row r="237" spans="43:74" ht="15" customHeight="1" x14ac:dyDescent="0.3">
      <c r="AQ237" s="884" t="s">
        <v>682</v>
      </c>
      <c r="AR237" s="874" t="s">
        <v>683</v>
      </c>
      <c r="AS237" s="878" t="s">
        <v>661</v>
      </c>
      <c r="AT237" s="869">
        <f>'[6]3SO'!G25/1000</f>
        <v>18365.54552</v>
      </c>
      <c r="AU237" s="927"/>
      <c r="BR237" s="82" t="s">
        <v>10</v>
      </c>
      <c r="BS237" s="83" t="s">
        <v>24</v>
      </c>
      <c r="BT237" s="83" t="s">
        <v>126</v>
      </c>
      <c r="BU237" s="84" t="s">
        <v>25</v>
      </c>
      <c r="BV237" s="85" t="s">
        <v>126</v>
      </c>
    </row>
    <row r="238" spans="43:74" ht="15" customHeight="1" x14ac:dyDescent="0.3">
      <c r="AQ238" s="884" t="s">
        <v>684</v>
      </c>
      <c r="AR238" s="874" t="s">
        <v>685</v>
      </c>
      <c r="AS238" s="878" t="s">
        <v>661</v>
      </c>
      <c r="AT238" s="869">
        <f>'[6]3SO'!G26/1000</f>
        <v>38200.650580000001</v>
      </c>
      <c r="AU238" s="927"/>
      <c r="BR238" s="86" t="s">
        <v>12</v>
      </c>
      <c r="BS238" s="87"/>
      <c r="BT238" s="87"/>
      <c r="BU238" s="88"/>
      <c r="BV238" s="89"/>
    </row>
    <row r="239" spans="43:74" ht="15" customHeight="1" x14ac:dyDescent="0.3">
      <c r="AQ239" s="884" t="s">
        <v>686</v>
      </c>
      <c r="AR239" s="874" t="s">
        <v>687</v>
      </c>
      <c r="AS239" s="878" t="s">
        <v>661</v>
      </c>
      <c r="AT239" s="869">
        <f>'[6]3SO'!G27/1000</f>
        <v>3333.6410000000001</v>
      </c>
      <c r="AU239" s="927"/>
      <c r="BR239" s="86" t="s">
        <v>11</v>
      </c>
      <c r="BS239" s="87"/>
      <c r="BT239" s="87"/>
      <c r="BU239" s="88"/>
      <c r="BV239" s="89"/>
    </row>
    <row r="240" spans="43:74" ht="15" customHeight="1" x14ac:dyDescent="0.3">
      <c r="AQ240" s="884" t="s">
        <v>688</v>
      </c>
      <c r="AR240" s="874" t="s">
        <v>689</v>
      </c>
      <c r="AS240" s="878" t="s">
        <v>661</v>
      </c>
      <c r="AT240" s="869">
        <f>'[6]3SO'!G28/1000</f>
        <v>518.68550000000005</v>
      </c>
      <c r="AU240" s="927"/>
      <c r="BR240" s="90" t="s">
        <v>16</v>
      </c>
      <c r="BS240" s="91"/>
      <c r="BT240" s="87"/>
      <c r="BU240" s="92"/>
      <c r="BV240" s="93"/>
    </row>
    <row r="241" spans="43:85" ht="15" customHeight="1" x14ac:dyDescent="0.3">
      <c r="AQ241" s="884" t="s">
        <v>690</v>
      </c>
      <c r="AR241" s="874" t="s">
        <v>691</v>
      </c>
      <c r="AS241" s="878" t="s">
        <v>661</v>
      </c>
      <c r="AT241" s="869">
        <f>'[6]3SO'!G29/1000</f>
        <v>654.80999999999995</v>
      </c>
      <c r="AU241" s="927"/>
      <c r="BR241" s="90" t="s">
        <v>123</v>
      </c>
      <c r="BS241" s="94"/>
      <c r="BT241" s="94"/>
      <c r="BU241" s="95"/>
      <c r="BV241" s="96"/>
    </row>
    <row r="242" spans="43:85" ht="15" customHeight="1" thickBot="1" x14ac:dyDescent="0.35">
      <c r="AQ242" s="884" t="s">
        <v>692</v>
      </c>
      <c r="AR242" s="874" t="s">
        <v>693</v>
      </c>
      <c r="AS242" s="878" t="s">
        <v>661</v>
      </c>
      <c r="AT242" s="869">
        <f>'[6]3SO'!G30/1000</f>
        <v>189963.14446000001</v>
      </c>
      <c r="AU242" s="927"/>
      <c r="BR242" s="97" t="s">
        <v>124</v>
      </c>
      <c r="BS242" s="98"/>
      <c r="BT242" s="94"/>
      <c r="BU242" s="95"/>
      <c r="BV242" s="99"/>
    </row>
    <row r="243" spans="43:85" ht="15" customHeight="1" thickBot="1" x14ac:dyDescent="0.35">
      <c r="AQ243" s="884" t="s">
        <v>694</v>
      </c>
      <c r="AR243" s="874" t="s">
        <v>695</v>
      </c>
      <c r="AS243" s="878" t="s">
        <v>661</v>
      </c>
      <c r="AT243" s="869">
        <f>'[6]3SO'!G31/1000</f>
        <v>20498.07588</v>
      </c>
      <c r="AU243" s="927"/>
      <c r="BR243" s="1223" t="s">
        <v>15</v>
      </c>
      <c r="BS243" s="1224"/>
      <c r="BT243" s="1224"/>
      <c r="BU243" s="1225"/>
      <c r="BV243" s="100">
        <f>SUM(BV238:BV242)</f>
        <v>0</v>
      </c>
    </row>
    <row r="244" spans="43:85" ht="15" customHeight="1" x14ac:dyDescent="0.3">
      <c r="AQ244" s="884" t="s">
        <v>696</v>
      </c>
      <c r="AR244" s="874" t="s">
        <v>697</v>
      </c>
      <c r="AS244" s="878" t="s">
        <v>661</v>
      </c>
      <c r="AT244" s="869">
        <f>'[6]3SO'!G32/1000</f>
        <v>45</v>
      </c>
      <c r="AU244" s="927"/>
      <c r="BR244" s="101"/>
      <c r="BS244" s="101"/>
      <c r="BT244" s="101"/>
      <c r="BU244" s="101"/>
      <c r="BV244" s="101"/>
    </row>
    <row r="245" spans="43:85" ht="15" customHeight="1" x14ac:dyDescent="0.3">
      <c r="AQ245" s="884" t="s">
        <v>698</v>
      </c>
      <c r="AR245" s="874" t="s">
        <v>699</v>
      </c>
      <c r="AS245" s="878" t="s">
        <v>661</v>
      </c>
      <c r="AT245" s="869">
        <f>'[6]3SO'!G33/1000</f>
        <v>45</v>
      </c>
      <c r="AU245" s="927"/>
      <c r="BR245" s="101"/>
      <c r="BS245" s="101"/>
      <c r="BT245" s="101"/>
      <c r="BU245" s="101"/>
      <c r="BV245" s="101"/>
    </row>
    <row r="246" spans="43:85" ht="15" customHeight="1" thickBot="1" x14ac:dyDescent="0.35">
      <c r="AQ246" s="884" t="s">
        <v>700</v>
      </c>
      <c r="AR246" s="874" t="s">
        <v>701</v>
      </c>
      <c r="AS246" s="878" t="s">
        <v>661</v>
      </c>
      <c r="AT246" s="869">
        <f>'[6]3SO'!G34/1000</f>
        <v>9719.2999999999993</v>
      </c>
      <c r="AU246" s="927"/>
      <c r="BR246" s="101"/>
      <c r="BS246" s="101"/>
      <c r="BT246" s="101"/>
      <c r="BU246" s="101"/>
      <c r="BV246" s="101"/>
    </row>
    <row r="247" spans="43:85" ht="15" customHeight="1" thickBot="1" x14ac:dyDescent="0.35">
      <c r="AQ247" s="884" t="s">
        <v>702</v>
      </c>
      <c r="AR247" s="874" t="s">
        <v>703</v>
      </c>
      <c r="AS247" s="878" t="s">
        <v>704</v>
      </c>
      <c r="AT247" s="869">
        <f>'[6]3SO'!G35/1000</f>
        <v>648.29600000000005</v>
      </c>
      <c r="AU247" s="927"/>
      <c r="BR247" s="82" t="s">
        <v>10</v>
      </c>
      <c r="BS247" s="83" t="s">
        <v>127</v>
      </c>
      <c r="BT247" s="85" t="s">
        <v>128</v>
      </c>
      <c r="BU247" s="102"/>
      <c r="BV247" s="102"/>
    </row>
    <row r="248" spans="43:85" ht="15" customHeight="1" thickBot="1" x14ac:dyDescent="0.35">
      <c r="AQ248" s="884" t="s">
        <v>705</v>
      </c>
      <c r="AR248" s="874" t="s">
        <v>706</v>
      </c>
      <c r="AS248" s="878" t="s">
        <v>661</v>
      </c>
      <c r="AT248" s="869">
        <f>'[6]3SO'!G36/1000</f>
        <v>3815.4110000000001</v>
      </c>
      <c r="AU248" s="927"/>
      <c r="BR248" s="103" t="s">
        <v>125</v>
      </c>
      <c r="BS248" s="104"/>
      <c r="BT248" s="100"/>
      <c r="BU248" s="105"/>
      <c r="BV248" s="106"/>
    </row>
    <row r="249" spans="43:85" ht="15" customHeight="1" x14ac:dyDescent="0.3">
      <c r="AQ249" s="884" t="s">
        <v>708</v>
      </c>
      <c r="AR249" s="874" t="s">
        <v>709</v>
      </c>
      <c r="AS249" s="878" t="s">
        <v>704</v>
      </c>
      <c r="AT249" s="869">
        <f>'[6]3SO'!G38/1000</f>
        <v>300.8279</v>
      </c>
      <c r="AU249" s="927"/>
    </row>
    <row r="250" spans="43:85" ht="15" customHeight="1" thickBot="1" x14ac:dyDescent="0.35">
      <c r="AQ250" s="884" t="s">
        <v>710</v>
      </c>
      <c r="AR250" s="874" t="s">
        <v>711</v>
      </c>
      <c r="AS250" s="878" t="s">
        <v>704</v>
      </c>
      <c r="AT250" s="869">
        <f>'[6]3SO'!G39/1000</f>
        <v>490.87990000000002</v>
      </c>
      <c r="AU250" s="927"/>
    </row>
    <row r="251" spans="43:85" ht="30" customHeight="1" thickBot="1" x14ac:dyDescent="0.35">
      <c r="AQ251" s="884" t="s">
        <v>712</v>
      </c>
      <c r="AR251" s="874" t="s">
        <v>713</v>
      </c>
      <c r="AS251" s="878" t="s">
        <v>704</v>
      </c>
      <c r="AT251" s="869">
        <f>'[6]3SO'!G40/1000</f>
        <v>164.404</v>
      </c>
      <c r="AU251" s="927"/>
      <c r="BY251" s="1212" t="s">
        <v>27</v>
      </c>
      <c r="BZ251" s="1213"/>
      <c r="CA251" s="198" t="s">
        <v>28</v>
      </c>
      <c r="CB251" s="359" t="s">
        <v>29</v>
      </c>
      <c r="CC251" s="360" t="s">
        <v>30</v>
      </c>
    </row>
    <row r="252" spans="43:85" ht="15" customHeight="1" x14ac:dyDescent="0.3">
      <c r="AQ252" s="884" t="s">
        <v>714</v>
      </c>
      <c r="AR252" s="874" t="s">
        <v>715</v>
      </c>
      <c r="AS252" s="878" t="s">
        <v>704</v>
      </c>
      <c r="AT252" s="869">
        <f>'[6]3SO'!G43/1000</f>
        <v>1424.87</v>
      </c>
      <c r="AU252" s="927"/>
      <c r="BY252" s="1214" t="s">
        <v>31</v>
      </c>
      <c r="BZ252" s="1215"/>
      <c r="CA252" s="363" t="s">
        <v>36</v>
      </c>
      <c r="CB252" s="364">
        <f>'[7]10 Finanční analýza (FRR_C)'!$E$29/1000</f>
        <v>-537563.75675189018</v>
      </c>
      <c r="CC252" s="365">
        <f>'[7]12 Ekonomická analýza (ERR)'!$F$47/1000</f>
        <v>305392.46438094112</v>
      </c>
    </row>
    <row r="253" spans="43:85" ht="15" customHeight="1" x14ac:dyDescent="0.3">
      <c r="AQ253" s="884" t="s">
        <v>716</v>
      </c>
      <c r="AR253" s="874" t="s">
        <v>717</v>
      </c>
      <c r="AS253" s="878" t="s">
        <v>661</v>
      </c>
      <c r="AT253" s="869">
        <f>'[6]3SO'!G44/1000</f>
        <v>1798.5801200000001</v>
      </c>
      <c r="AU253" s="927"/>
      <c r="BY253" s="1236" t="s">
        <v>34</v>
      </c>
      <c r="BZ253" s="1237"/>
      <c r="CA253" s="366" t="s">
        <v>33</v>
      </c>
      <c r="CB253" s="367" t="s">
        <v>122</v>
      </c>
      <c r="CC253" s="368">
        <f>'[7]12 Ekonomická analýza (ERR)'!$F$46</f>
        <v>9.3299999999999994E-2</v>
      </c>
    </row>
    <row r="254" spans="43:85" ht="15" customHeight="1" thickBot="1" x14ac:dyDescent="0.35">
      <c r="AQ254" s="884" t="s">
        <v>718</v>
      </c>
      <c r="AR254" s="874" t="s">
        <v>719</v>
      </c>
      <c r="AS254" s="878" t="s">
        <v>704</v>
      </c>
      <c r="AT254" s="869">
        <f>'[6]3SO'!G45/1000</f>
        <v>624.45654999999999</v>
      </c>
      <c r="AU254" s="927"/>
      <c r="BY254" s="1238" t="s">
        <v>32</v>
      </c>
      <c r="BZ254" s="1239"/>
      <c r="CA254" s="369" t="s">
        <v>35</v>
      </c>
      <c r="CB254" s="370" t="s">
        <v>122</v>
      </c>
      <c r="CC254" s="371">
        <f>'[7]12 Ekonomická analýza (ERR)'!$F$48</f>
        <v>1.2108519562338311</v>
      </c>
    </row>
    <row r="255" spans="43:85" ht="15" customHeight="1" thickBot="1" x14ac:dyDescent="0.35">
      <c r="AQ255" s="884" t="s">
        <v>720</v>
      </c>
      <c r="AR255" s="874" t="s">
        <v>721</v>
      </c>
      <c r="AS255" s="878" t="s">
        <v>661</v>
      </c>
      <c r="AT255" s="869">
        <f>'[6]3SO'!G46/1000</f>
        <v>46.585560000000001</v>
      </c>
      <c r="AU255" s="927"/>
    </row>
    <row r="256" spans="43:85" ht="15" customHeight="1" thickBot="1" x14ac:dyDescent="0.35">
      <c r="AQ256" s="884" t="s">
        <v>722</v>
      </c>
      <c r="AR256" s="874" t="s">
        <v>723</v>
      </c>
      <c r="AS256" s="878" t="s">
        <v>661</v>
      </c>
      <c r="AT256" s="869">
        <f>'[6]3SO'!G47/1000</f>
        <v>99.608070000000012</v>
      </c>
      <c r="AU256" s="927"/>
      <c r="CE256" s="1112" t="s">
        <v>129</v>
      </c>
      <c r="CF256" s="1242"/>
      <c r="CG256" s="1243"/>
    </row>
    <row r="257" spans="43:86" ht="15" customHeight="1" x14ac:dyDescent="0.3">
      <c r="AQ257" s="884" t="s">
        <v>724</v>
      </c>
      <c r="AR257" s="874" t="s">
        <v>725</v>
      </c>
      <c r="AS257" s="878" t="s">
        <v>704</v>
      </c>
      <c r="AT257" s="869">
        <f>'[6]3SO'!G48/1000</f>
        <v>1343.67218</v>
      </c>
      <c r="AU257" s="927"/>
      <c r="CE257" s="1240" t="str">
        <f>'[3]12 Ekonomická analýza (ERR)'!$C$4</f>
        <v>Celkem PN infrastruktury železnice - úspora</v>
      </c>
      <c r="CF257" s="1241"/>
      <c r="CG257" s="372">
        <f>'[7]12 Ekonomická analýza (ERR)'!$D$4/1000</f>
        <v>925519.80277521757</v>
      </c>
    </row>
    <row r="258" spans="43:86" s="199" customFormat="1" ht="15" customHeight="1" x14ac:dyDescent="0.3">
      <c r="AQ258" s="884" t="s">
        <v>726</v>
      </c>
      <c r="AR258" s="874" t="s">
        <v>727</v>
      </c>
      <c r="AS258" s="878" t="s">
        <v>704</v>
      </c>
      <c r="AT258" s="869">
        <f>'[6]3SO'!G49/1000</f>
        <v>5412.79</v>
      </c>
      <c r="AU258" s="927"/>
      <c r="CE258" s="715" t="str">
        <f>'[3]12 Ekonomická analýza (ERR)'!$C$5</f>
        <v>Celkem PN infrastruktura silnice - úspora</v>
      </c>
      <c r="CF258" s="716"/>
      <c r="CG258" s="303">
        <f>'[7]12 Ekonomická analýza (ERR)'!$D$5/1000</f>
        <v>104.15222732235503</v>
      </c>
    </row>
    <row r="259" spans="43:86" ht="15" customHeight="1" x14ac:dyDescent="0.3">
      <c r="AQ259" s="884" t="s">
        <v>728</v>
      </c>
      <c r="AR259" s="874" t="s">
        <v>729</v>
      </c>
      <c r="AS259" s="878" t="s">
        <v>661</v>
      </c>
      <c r="AT259" s="869">
        <f>'[6]3SO'!G50/1000</f>
        <v>17.162669999999999</v>
      </c>
      <c r="AU259" s="927"/>
      <c r="CE259" s="1232" t="str">
        <f>'[3]12 Ekonomická analýza (ERR)'!$C$8</f>
        <v>Celkem PN vozidel železnice - úspora</v>
      </c>
      <c r="CF259" s="1246"/>
      <c r="CG259" s="303">
        <f>'[7]12 Ekonomická analýza (ERR)'!$D$8/1000</f>
        <v>381617.87464639154</v>
      </c>
    </row>
    <row r="260" spans="43:86" ht="15" customHeight="1" x14ac:dyDescent="0.3">
      <c r="AQ260" s="884" t="s">
        <v>730</v>
      </c>
      <c r="AR260" s="874" t="s">
        <v>731</v>
      </c>
      <c r="AS260" s="878" t="s">
        <v>704</v>
      </c>
      <c r="AT260" s="869">
        <f>'[6]3SO'!G51/1000</f>
        <v>1203.96549</v>
      </c>
      <c r="AU260" s="927"/>
      <c r="CE260" s="1232" t="str">
        <f>'[3]12 Ekonomická analýza (ERR)'!$C$12</f>
        <v>Celkem úspory z cestovních dob</v>
      </c>
      <c r="CF260" s="1233"/>
      <c r="CG260" s="373">
        <f>'[7]12 Ekonomická analýza (ERR)'!$D$12/1000</f>
        <v>778686.52985838603</v>
      </c>
    </row>
    <row r="261" spans="43:86" s="199" customFormat="1" ht="15" customHeight="1" x14ac:dyDescent="0.3">
      <c r="AQ261" s="884" t="s">
        <v>732</v>
      </c>
      <c r="AR261" s="874" t="s">
        <v>733</v>
      </c>
      <c r="AS261" s="878" t="s">
        <v>704</v>
      </c>
      <c r="AT261" s="869">
        <f>'[6]3SO'!G52/1000</f>
        <v>652.31034999999997</v>
      </c>
      <c r="AU261" s="927"/>
      <c r="CE261" s="715" t="str">
        <f>'[3]12 Ekonomická analýza (ERR)'!$C$13</f>
        <v>Celkem externality</v>
      </c>
      <c r="CF261" s="716"/>
      <c r="CG261" s="373">
        <f>'[7]12 Ekonomická analýza (ERR)'!$D$13/1000</f>
        <v>7879.8434015348357</v>
      </c>
    </row>
    <row r="262" spans="43:86" ht="15" customHeight="1" x14ac:dyDescent="0.3">
      <c r="AQ262" s="884" t="s">
        <v>734</v>
      </c>
      <c r="AR262" s="874" t="s">
        <v>735</v>
      </c>
      <c r="AS262" s="878" t="s">
        <v>704</v>
      </c>
      <c r="AT262" s="869">
        <f>'[6]3SO'!G53/1000</f>
        <v>383.83850000000001</v>
      </c>
      <c r="AU262" s="927"/>
      <c r="CE262" s="1232" t="str">
        <f>'[3]12 Ekonomická analýza (ERR)'!$C$15</f>
        <v>Ostatní přínosy</v>
      </c>
      <c r="CF262" s="1233"/>
      <c r="CG262" s="373">
        <f>'[7]12 Ekonomická analýza (ERR)'!$D$15/1000</f>
        <v>123534.51175799999</v>
      </c>
    </row>
    <row r="263" spans="43:86" ht="15" customHeight="1" thickBot="1" x14ac:dyDescent="0.35">
      <c r="AQ263" s="884" t="s">
        <v>736</v>
      </c>
      <c r="AR263" s="874" t="s">
        <v>737</v>
      </c>
      <c r="AS263" s="878" t="s">
        <v>661</v>
      </c>
      <c r="AT263" s="869">
        <f>'[6]3SO'!G54/1000</f>
        <v>1790.77</v>
      </c>
      <c r="AU263" s="927"/>
      <c r="CE263" s="1244" t="s">
        <v>41</v>
      </c>
      <c r="CF263" s="1245"/>
      <c r="CG263" s="374">
        <f>'[7]12 Ekonomická analýza (ERR)'!$D$16/1000</f>
        <v>2217342.7146668523</v>
      </c>
      <c r="CH263" s="543">
        <f>SUM(CG257:CG262)</f>
        <v>2217342.7146668527</v>
      </c>
    </row>
    <row r="264" spans="43:86" ht="15" customHeight="1" x14ac:dyDescent="0.3">
      <c r="AQ264" s="884" t="s">
        <v>738</v>
      </c>
      <c r="AR264" s="874" t="s">
        <v>739</v>
      </c>
      <c r="AS264" s="878" t="s">
        <v>661</v>
      </c>
      <c r="AT264" s="869">
        <f>'[6]3SO'!G55/1000</f>
        <v>1724.3559599999999</v>
      </c>
      <c r="AU264" s="927"/>
      <c r="CE264" s="1240" t="s">
        <v>417</v>
      </c>
      <c r="CF264" s="1241"/>
      <c r="CG264" s="372">
        <f>'[7]12 Ekonomická analýza (ERR)'!$D$17/1000</f>
        <v>1528305.3480972601</v>
      </c>
    </row>
    <row r="265" spans="43:86" ht="15" customHeight="1" x14ac:dyDescent="0.3">
      <c r="AQ265" s="884" t="s">
        <v>740</v>
      </c>
      <c r="AR265" s="874" t="s">
        <v>741</v>
      </c>
      <c r="AS265" s="878" t="s">
        <v>661</v>
      </c>
      <c r="AT265" s="869">
        <f>'[6]3SO'!G56/1000</f>
        <v>41.506790000000002</v>
      </c>
      <c r="AU265" s="927"/>
      <c r="CE265" s="1232" t="s">
        <v>42</v>
      </c>
      <c r="CF265" s="1233"/>
      <c r="CG265" s="373">
        <f>'[7]12 Ekonomická analýza (ERR)'!$D$18/1000</f>
        <v>-424519.08824343688</v>
      </c>
    </row>
    <row r="266" spans="43:86" ht="15" customHeight="1" thickBot="1" x14ac:dyDescent="0.35">
      <c r="AQ266" s="884" t="s">
        <v>742</v>
      </c>
      <c r="AR266" s="874" t="s">
        <v>743</v>
      </c>
      <c r="AS266" s="878" t="s">
        <v>704</v>
      </c>
      <c r="AT266" s="869">
        <f>'[6]3SO'!G57/1000</f>
        <v>213.12</v>
      </c>
      <c r="AU266" s="927"/>
      <c r="CE266" s="1208" t="s">
        <v>43</v>
      </c>
      <c r="CF266" s="1209"/>
      <c r="CG266" s="375">
        <f>'[7]12 Ekonomická analýza (ERR)'!$D$19/1000</f>
        <v>1103786.2598538231</v>
      </c>
      <c r="CH266" s="543">
        <f>SUM(CG264:CG265)</f>
        <v>1103786.2598538231</v>
      </c>
    </row>
    <row r="267" spans="43:86" ht="15" customHeight="1" x14ac:dyDescent="0.3">
      <c r="AQ267" s="884" t="s">
        <v>744</v>
      </c>
      <c r="AR267" s="874" t="s">
        <v>745</v>
      </c>
      <c r="AS267" s="878" t="s">
        <v>704</v>
      </c>
      <c r="AT267" s="869">
        <f>'[6]3SO'!G58/1000</f>
        <v>1305.125</v>
      </c>
      <c r="AU267" s="927"/>
      <c r="CE267" s="1210" t="s">
        <v>418</v>
      </c>
      <c r="CF267" s="1211"/>
      <c r="CG267" s="303">
        <f>'[7]12 Ekonomická analýza (ERR)'!$D$20/1000</f>
        <v>1113556.4548130298</v>
      </c>
    </row>
    <row r="268" spans="43:86" ht="15" customHeight="1" x14ac:dyDescent="0.3">
      <c r="AQ268" s="884" t="s">
        <v>746</v>
      </c>
      <c r="AR268" s="874" t="s">
        <v>747</v>
      </c>
      <c r="AS268" s="878" t="s">
        <v>704</v>
      </c>
      <c r="AT268" s="869">
        <f>'[6]3SO'!G59/1000</f>
        <v>412.99</v>
      </c>
      <c r="AU268" s="927"/>
      <c r="CE268" s="1232" t="s">
        <v>44</v>
      </c>
      <c r="CF268" s="1233"/>
      <c r="CG268" s="376">
        <f>'[7]12 Ekonomická analýza (ERR)'!$D$21</f>
        <v>0.05</v>
      </c>
    </row>
    <row r="269" spans="43:86" ht="15" customHeight="1" thickBot="1" x14ac:dyDescent="0.35">
      <c r="AQ269" s="884" t="s">
        <v>748</v>
      </c>
      <c r="AR269" s="874" t="s">
        <v>749</v>
      </c>
      <c r="AS269" s="878" t="s">
        <v>661</v>
      </c>
      <c r="AT269" s="869">
        <f>'[6]3SO'!G60/1000</f>
        <v>30144</v>
      </c>
      <c r="AU269" s="927"/>
      <c r="CE269" s="1234" t="s">
        <v>45</v>
      </c>
      <c r="CF269" s="1235"/>
      <c r="CG269" s="44">
        <f>'[7]12 Ekonomická analýza (ERR)'!$D$22/1000</f>
        <v>305392.46438094112</v>
      </c>
    </row>
    <row r="270" spans="43:86" ht="15" customHeight="1" x14ac:dyDescent="0.3">
      <c r="AQ270" s="884" t="s">
        <v>750</v>
      </c>
      <c r="AR270" s="874" t="s">
        <v>751</v>
      </c>
      <c r="AS270" s="878" t="s">
        <v>661</v>
      </c>
      <c r="AT270" s="869">
        <f>'[6]3SO'!G61/1000</f>
        <v>3089.5791400000003</v>
      </c>
      <c r="AU270" s="927"/>
    </row>
    <row r="271" spans="43:86" ht="15" customHeight="1" x14ac:dyDescent="0.3">
      <c r="AQ271" s="884" t="s">
        <v>752</v>
      </c>
      <c r="AR271" s="874" t="s">
        <v>753</v>
      </c>
      <c r="AS271" s="878" t="s">
        <v>661</v>
      </c>
      <c r="AT271" s="869">
        <f>'[6]3SO'!G62/1000</f>
        <v>4969.20147</v>
      </c>
      <c r="AU271" s="927"/>
    </row>
    <row r="272" spans="43:86" ht="15" customHeight="1" x14ac:dyDescent="0.3">
      <c r="AQ272" s="884" t="s">
        <v>754</v>
      </c>
      <c r="AR272" s="874" t="s">
        <v>755</v>
      </c>
      <c r="AS272" s="878" t="s">
        <v>704</v>
      </c>
      <c r="AT272" s="869">
        <f>'[6]3SO'!G63/1000</f>
        <v>7814.45424</v>
      </c>
      <c r="AU272" s="927"/>
    </row>
    <row r="273" spans="42:47" ht="15" customHeight="1" x14ac:dyDescent="0.3">
      <c r="AP273" s="133"/>
      <c r="AQ273" s="884" t="s">
        <v>756</v>
      </c>
      <c r="AR273" s="874" t="s">
        <v>757</v>
      </c>
      <c r="AS273" s="878" t="s">
        <v>661</v>
      </c>
      <c r="AT273" s="869">
        <f>'[6]3SO'!G64/1000</f>
        <v>437.12599999999998</v>
      </c>
      <c r="AU273" s="927"/>
    </row>
    <row r="274" spans="42:47" ht="15" customHeight="1" x14ac:dyDescent="0.3">
      <c r="AQ274" s="884" t="s">
        <v>758</v>
      </c>
      <c r="AR274" s="874" t="s">
        <v>759</v>
      </c>
      <c r="AS274" s="878" t="s">
        <v>661</v>
      </c>
      <c r="AT274" s="869">
        <f>'[6]3SO'!G65/1000</f>
        <v>1523.89642</v>
      </c>
      <c r="AU274" s="927"/>
    </row>
    <row r="275" spans="42:47" ht="15" customHeight="1" x14ac:dyDescent="0.3">
      <c r="AQ275" s="884" t="s">
        <v>760</v>
      </c>
      <c r="AR275" s="874" t="s">
        <v>761</v>
      </c>
      <c r="AS275" s="878" t="s">
        <v>661</v>
      </c>
      <c r="AT275" s="869">
        <f>'[6]3SO'!G66/1000</f>
        <v>16614.907500000001</v>
      </c>
      <c r="AU275" s="927"/>
    </row>
    <row r="276" spans="42:47" ht="15" customHeight="1" x14ac:dyDescent="0.3">
      <c r="AQ276" s="884" t="s">
        <v>762</v>
      </c>
      <c r="AR276" s="874" t="s">
        <v>763</v>
      </c>
      <c r="AS276" s="878" t="s">
        <v>661</v>
      </c>
      <c r="AT276" s="869">
        <f>'[6]3SO'!G67/1000</f>
        <v>4461.2437300000001</v>
      </c>
      <c r="AU276" s="927"/>
    </row>
    <row r="277" spans="42:47" ht="15" customHeight="1" thickBot="1" x14ac:dyDescent="0.35">
      <c r="AQ277" s="885" t="s">
        <v>764</v>
      </c>
      <c r="AR277" s="877" t="s">
        <v>765</v>
      </c>
      <c r="AS277" s="886" t="s">
        <v>661</v>
      </c>
      <c r="AT277" s="870">
        <f>'[6]3SO'!G68/1000</f>
        <v>1931.0368100000001</v>
      </c>
      <c r="AU277" s="927"/>
    </row>
    <row r="278" spans="42:47" s="199" customFormat="1" ht="15" customHeight="1" thickBot="1" x14ac:dyDescent="0.35">
      <c r="AQ278" s="896"/>
      <c r="AR278" s="896"/>
      <c r="AS278" s="897"/>
      <c r="AT278" s="898"/>
    </row>
    <row r="279" spans="42:47" s="199" customFormat="1" ht="15" customHeight="1" thickBot="1" x14ac:dyDescent="0.35">
      <c r="AQ279" s="130" t="s">
        <v>91</v>
      </c>
      <c r="AR279" s="131" t="s">
        <v>92</v>
      </c>
      <c r="AS279" s="895" t="s">
        <v>93</v>
      </c>
      <c r="AT279" s="132" t="s">
        <v>632</v>
      </c>
    </row>
    <row r="280" spans="42:47" ht="15" customHeight="1" x14ac:dyDescent="0.3">
      <c r="AQ280" s="880" t="s">
        <v>766</v>
      </c>
      <c r="AR280" s="881" t="s">
        <v>767</v>
      </c>
      <c r="AS280" s="891" t="s">
        <v>661</v>
      </c>
      <c r="AT280" s="883">
        <f>'[6]3SO'!G69/1000</f>
        <v>2925.9145899999999</v>
      </c>
      <c r="AU280" s="927"/>
    </row>
    <row r="281" spans="42:47" ht="15" customHeight="1" x14ac:dyDescent="0.3">
      <c r="AQ281" s="884" t="s">
        <v>768</v>
      </c>
      <c r="AR281" s="874" t="s">
        <v>769</v>
      </c>
      <c r="AS281" s="878" t="s">
        <v>661</v>
      </c>
      <c r="AT281" s="869">
        <f>'[6]3SO'!G70/1000</f>
        <v>267.54851000000002</v>
      </c>
      <c r="AU281" s="927"/>
    </row>
    <row r="282" spans="42:47" ht="15" customHeight="1" x14ac:dyDescent="0.3">
      <c r="AQ282" s="884" t="s">
        <v>770</v>
      </c>
      <c r="AR282" s="874" t="s">
        <v>771</v>
      </c>
      <c r="AS282" s="878" t="s">
        <v>661</v>
      </c>
      <c r="AT282" s="869">
        <f>'[6]3SO'!G71/1000</f>
        <v>1570.74729</v>
      </c>
      <c r="AU282" s="927"/>
    </row>
    <row r="283" spans="42:47" ht="15" customHeight="1" x14ac:dyDescent="0.3">
      <c r="AQ283" s="884" t="s">
        <v>772</v>
      </c>
      <c r="AR283" s="874" t="s">
        <v>773</v>
      </c>
      <c r="AS283" s="878" t="s">
        <v>661</v>
      </c>
      <c r="AT283" s="869">
        <f>'[6]3SO'!G72/1000</f>
        <v>304.73968000000002</v>
      </c>
      <c r="AU283" s="927"/>
    </row>
    <row r="284" spans="42:47" ht="15" customHeight="1" x14ac:dyDescent="0.3">
      <c r="AQ284" s="884" t="s">
        <v>774</v>
      </c>
      <c r="AR284" s="874" t="s">
        <v>775</v>
      </c>
      <c r="AS284" s="878" t="s">
        <v>661</v>
      </c>
      <c r="AT284" s="869">
        <f>'[6]3SO'!G73/1000</f>
        <v>132113.48699999999</v>
      </c>
      <c r="AU284" s="927"/>
    </row>
    <row r="285" spans="42:47" ht="15" customHeight="1" x14ac:dyDescent="0.3">
      <c r="AQ285" s="884" t="s">
        <v>776</v>
      </c>
      <c r="AR285" s="874" t="s">
        <v>777</v>
      </c>
      <c r="AS285" s="878" t="s">
        <v>661</v>
      </c>
      <c r="AT285" s="869">
        <f>'[6]3SO'!G74/1000</f>
        <v>1167.3219999999999</v>
      </c>
      <c r="AU285" s="927"/>
    </row>
    <row r="286" spans="42:47" ht="15" customHeight="1" x14ac:dyDescent="0.3">
      <c r="AQ286" s="884" t="s">
        <v>778</v>
      </c>
      <c r="AR286" s="874" t="s">
        <v>779</v>
      </c>
      <c r="AS286" s="878" t="s">
        <v>661</v>
      </c>
      <c r="AT286" s="869">
        <f>'[6]3SO'!G75/1000</f>
        <v>1167.3219999999999</v>
      </c>
      <c r="AU286" s="927"/>
    </row>
    <row r="287" spans="42:47" ht="15" customHeight="1" x14ac:dyDescent="0.3">
      <c r="AQ287" s="884" t="s">
        <v>780</v>
      </c>
      <c r="AR287" s="874" t="s">
        <v>781</v>
      </c>
      <c r="AS287" s="878" t="s">
        <v>661</v>
      </c>
      <c r="AT287" s="869">
        <f>'[6]3SO'!G76/1000</f>
        <v>340</v>
      </c>
      <c r="AU287" s="927"/>
    </row>
    <row r="288" spans="42:47" ht="15" customHeight="1" x14ac:dyDescent="0.3">
      <c r="AQ288" s="884" t="s">
        <v>782</v>
      </c>
      <c r="AR288" s="874" t="s">
        <v>783</v>
      </c>
      <c r="AS288" s="878" t="s">
        <v>661</v>
      </c>
      <c r="AT288" s="869">
        <f>'[6]3SO'!G77/1000</f>
        <v>765</v>
      </c>
      <c r="AU288" s="927"/>
    </row>
    <row r="289" spans="43:47" ht="15" customHeight="1" x14ac:dyDescent="0.3">
      <c r="AQ289" s="884" t="s">
        <v>784</v>
      </c>
      <c r="AR289" s="874" t="s">
        <v>785</v>
      </c>
      <c r="AS289" s="878" t="s">
        <v>661</v>
      </c>
      <c r="AT289" s="869">
        <f>'[6]3SO'!G78/1000</f>
        <v>21361.517</v>
      </c>
      <c r="AU289" s="927"/>
    </row>
    <row r="290" spans="43:47" ht="15" customHeight="1" x14ac:dyDescent="0.3">
      <c r="AQ290" s="884" t="s">
        <v>786</v>
      </c>
      <c r="AR290" s="874" t="s">
        <v>787</v>
      </c>
      <c r="AS290" s="878" t="s">
        <v>661</v>
      </c>
      <c r="AT290" s="869">
        <f>'[6]3SO'!G79/1000</f>
        <v>14662.505999999999</v>
      </c>
      <c r="AU290" s="927"/>
    </row>
    <row r="291" spans="43:47" ht="15" customHeight="1" x14ac:dyDescent="0.3">
      <c r="AQ291" s="884" t="s">
        <v>788</v>
      </c>
      <c r="AR291" s="874" t="s">
        <v>789</v>
      </c>
      <c r="AS291" s="878" t="s">
        <v>661</v>
      </c>
      <c r="AT291" s="869">
        <f>'[6]3SO'!G80/1000</f>
        <v>2405.9209999999998</v>
      </c>
      <c r="AU291" s="927"/>
    </row>
    <row r="292" spans="43:47" ht="15" customHeight="1" x14ac:dyDescent="0.3">
      <c r="AQ292" s="884" t="s">
        <v>790</v>
      </c>
      <c r="AR292" s="874" t="s">
        <v>791</v>
      </c>
      <c r="AS292" s="878" t="s">
        <v>661</v>
      </c>
      <c r="AT292" s="869">
        <f>'[6]3SO'!G81/1000</f>
        <v>4193.4714999999997</v>
      </c>
      <c r="AU292" s="927"/>
    </row>
    <row r="293" spans="43:47" ht="15" customHeight="1" x14ac:dyDescent="0.3">
      <c r="AQ293" s="884" t="s">
        <v>792</v>
      </c>
      <c r="AR293" s="874" t="s">
        <v>793</v>
      </c>
      <c r="AS293" s="878" t="s">
        <v>661</v>
      </c>
      <c r="AT293" s="869">
        <f>'[6]3SO'!G82/1000</f>
        <v>2184.4364999999998</v>
      </c>
      <c r="AU293" s="927"/>
    </row>
    <row r="294" spans="43:47" ht="15" customHeight="1" x14ac:dyDescent="0.3">
      <c r="AQ294" s="884" t="s">
        <v>794</v>
      </c>
      <c r="AR294" s="874" t="s">
        <v>795</v>
      </c>
      <c r="AS294" s="878" t="s">
        <v>661</v>
      </c>
      <c r="AT294" s="869">
        <f>'[6]3SO'!G83/1000</f>
        <v>4391.7629999999999</v>
      </c>
      <c r="AU294" s="927"/>
    </row>
    <row r="295" spans="43:47" ht="15" customHeight="1" x14ac:dyDescent="0.3">
      <c r="AQ295" s="884" t="s">
        <v>796</v>
      </c>
      <c r="AR295" s="874" t="s">
        <v>797</v>
      </c>
      <c r="AS295" s="878" t="s">
        <v>661</v>
      </c>
      <c r="AT295" s="869">
        <f>'[6]3SO'!G84/1000</f>
        <v>10493.115</v>
      </c>
      <c r="AU295" s="927"/>
    </row>
    <row r="296" spans="43:47" ht="15" customHeight="1" x14ac:dyDescent="0.3">
      <c r="AQ296" s="884" t="s">
        <v>798</v>
      </c>
      <c r="AR296" s="874" t="s">
        <v>799</v>
      </c>
      <c r="AS296" s="878" t="s">
        <v>661</v>
      </c>
      <c r="AT296" s="869">
        <f>'[6]3SO'!G85/1000</f>
        <v>3589.7109999999998</v>
      </c>
      <c r="AU296" s="927"/>
    </row>
    <row r="297" spans="43:47" ht="15" customHeight="1" x14ac:dyDescent="0.3">
      <c r="AQ297" s="884" t="s">
        <v>800</v>
      </c>
      <c r="AR297" s="874" t="s">
        <v>801</v>
      </c>
      <c r="AS297" s="878" t="s">
        <v>661</v>
      </c>
      <c r="AT297" s="869">
        <f>'[6]3SO'!G86/1000</f>
        <v>14644.374</v>
      </c>
      <c r="AU297" s="927"/>
    </row>
    <row r="298" spans="43:47" ht="15" customHeight="1" x14ac:dyDescent="0.3">
      <c r="AQ298" s="884" t="s">
        <v>802</v>
      </c>
      <c r="AR298" s="874" t="s">
        <v>803</v>
      </c>
      <c r="AS298" s="878" t="s">
        <v>661</v>
      </c>
      <c r="AT298" s="869">
        <f>'[6]3SO'!G87/1000</f>
        <v>8976.7880000000005</v>
      </c>
      <c r="AU298" s="927"/>
    </row>
    <row r="299" spans="43:47" ht="15" customHeight="1" x14ac:dyDescent="0.3">
      <c r="AQ299" s="884" t="s">
        <v>804</v>
      </c>
      <c r="AR299" s="874" t="s">
        <v>805</v>
      </c>
      <c r="AS299" s="878" t="s">
        <v>661</v>
      </c>
      <c r="AT299" s="869">
        <f>'[6]3SO'!G88/1000</f>
        <v>4160.6440000000002</v>
      </c>
      <c r="AU299" s="927"/>
    </row>
    <row r="300" spans="43:47" ht="15" customHeight="1" x14ac:dyDescent="0.3">
      <c r="AQ300" s="884" t="s">
        <v>806</v>
      </c>
      <c r="AR300" s="874" t="s">
        <v>807</v>
      </c>
      <c r="AS300" s="878" t="s">
        <v>661</v>
      </c>
      <c r="AT300" s="869">
        <f>'[6]3SO'!G89/1000</f>
        <v>2357.3000000000002</v>
      </c>
      <c r="AU300" s="927"/>
    </row>
    <row r="301" spans="43:47" ht="15" customHeight="1" x14ac:dyDescent="0.3">
      <c r="AQ301" s="884" t="s">
        <v>808</v>
      </c>
      <c r="AR301" s="874" t="s">
        <v>809</v>
      </c>
      <c r="AS301" s="878" t="s">
        <v>661</v>
      </c>
      <c r="AT301" s="869">
        <f>'[6]3SO'!G90/1000</f>
        <v>457.3</v>
      </c>
      <c r="AU301" s="927"/>
    </row>
    <row r="302" spans="43:47" ht="15" customHeight="1" x14ac:dyDescent="0.3">
      <c r="AQ302" s="884" t="s">
        <v>810</v>
      </c>
      <c r="AR302" s="874" t="s">
        <v>811</v>
      </c>
      <c r="AS302" s="878" t="s">
        <v>661</v>
      </c>
      <c r="AT302" s="869">
        <f>'[6]3SO'!G91/1000</f>
        <v>140.642</v>
      </c>
      <c r="AU302" s="927"/>
    </row>
    <row r="303" spans="43:47" ht="15" customHeight="1" x14ac:dyDescent="0.3">
      <c r="AQ303" s="884" t="s">
        <v>812</v>
      </c>
      <c r="AR303" s="874" t="s">
        <v>813</v>
      </c>
      <c r="AS303" s="878" t="s">
        <v>661</v>
      </c>
      <c r="AT303" s="869">
        <f>'[6]3SO'!G92/1000</f>
        <v>221.17500000000001</v>
      </c>
      <c r="AU303" s="927"/>
    </row>
    <row r="304" spans="43:47" ht="15" customHeight="1" thickBot="1" x14ac:dyDescent="0.35">
      <c r="AQ304" s="885" t="s">
        <v>814</v>
      </c>
      <c r="AR304" s="877" t="s">
        <v>815</v>
      </c>
      <c r="AS304" s="886" t="s">
        <v>661</v>
      </c>
      <c r="AT304" s="887">
        <f>'[6]3SO'!G93/1000</f>
        <v>217.96600000000001</v>
      </c>
      <c r="AU304" s="875">
        <f>SUM(AT280:AT304,AT226:AT277)</f>
        <v>1252123.8082300005</v>
      </c>
    </row>
    <row r="306" spans="43:47" ht="15" thickBot="1" x14ac:dyDescent="0.35">
      <c r="AQ306" s="879" t="s">
        <v>816</v>
      </c>
    </row>
    <row r="307" spans="43:47" ht="15" thickBot="1" x14ac:dyDescent="0.35">
      <c r="AQ307" s="130" t="s">
        <v>91</v>
      </c>
      <c r="AR307" s="131" t="s">
        <v>92</v>
      </c>
      <c r="AS307" s="895" t="s">
        <v>93</v>
      </c>
      <c r="AT307" s="132" t="s">
        <v>632</v>
      </c>
    </row>
    <row r="308" spans="43:47" x14ac:dyDescent="0.3">
      <c r="AQ308" s="880" t="s">
        <v>817</v>
      </c>
      <c r="AR308" s="881" t="s">
        <v>818</v>
      </c>
      <c r="AS308" s="891" t="s">
        <v>704</v>
      </c>
      <c r="AT308" s="892">
        <f>'[6]1B'!$I$57/1000</f>
        <v>395.262</v>
      </c>
      <c r="AU308" s="927"/>
    </row>
    <row r="309" spans="43:47" x14ac:dyDescent="0.3">
      <c r="AQ309" s="884" t="s">
        <v>819</v>
      </c>
      <c r="AR309" s="874" t="s">
        <v>820</v>
      </c>
      <c r="AS309" s="878" t="s">
        <v>704</v>
      </c>
      <c r="AT309" s="893">
        <f>'[6]1B'!$I$58/1000</f>
        <v>3176.6579999999999</v>
      </c>
      <c r="AU309" s="927"/>
    </row>
    <row r="310" spans="43:47" ht="15" thickBot="1" x14ac:dyDescent="0.35">
      <c r="AQ310" s="885" t="s">
        <v>821</v>
      </c>
      <c r="AR310" s="877" t="s">
        <v>822</v>
      </c>
      <c r="AS310" s="886" t="s">
        <v>704</v>
      </c>
      <c r="AT310" s="894">
        <f>'[6]1B'!$I$59/1000</f>
        <v>770</v>
      </c>
      <c r="AU310" s="875">
        <f>SUM(AT308:AT310)</f>
        <v>4341.92</v>
      </c>
    </row>
  </sheetData>
  <mergeCells count="56">
    <mergeCell ref="U162:U166"/>
    <mergeCell ref="U167:U171"/>
    <mergeCell ref="AE162:AE166"/>
    <mergeCell ref="AE167:AE171"/>
    <mergeCell ref="Z162:Z166"/>
    <mergeCell ref="Z167:Z171"/>
    <mergeCell ref="AL190:AM190"/>
    <mergeCell ref="BH220:BH221"/>
    <mergeCell ref="BI220:BK220"/>
    <mergeCell ref="G29:H29"/>
    <mergeCell ref="P156:S156"/>
    <mergeCell ref="AE160:AF161"/>
    <mergeCell ref="W160:X160"/>
    <mergeCell ref="U160:V161"/>
    <mergeCell ref="Z160:AA161"/>
    <mergeCell ref="AB160:AC160"/>
    <mergeCell ref="P160:S160"/>
    <mergeCell ref="J58:O58"/>
    <mergeCell ref="J82:O82"/>
    <mergeCell ref="J107:O107"/>
    <mergeCell ref="J130:O130"/>
    <mergeCell ref="AL188:AO188"/>
    <mergeCell ref="CE268:CF268"/>
    <mergeCell ref="CE269:CF269"/>
    <mergeCell ref="CE265:CF265"/>
    <mergeCell ref="BY253:BZ253"/>
    <mergeCell ref="BY254:BZ254"/>
    <mergeCell ref="CE264:CF264"/>
    <mergeCell ref="CE262:CF262"/>
    <mergeCell ref="CE256:CG256"/>
    <mergeCell ref="CE257:CF257"/>
    <mergeCell ref="CE260:CF260"/>
    <mergeCell ref="CE263:CF263"/>
    <mergeCell ref="CE259:CF259"/>
    <mergeCell ref="P163:S163"/>
    <mergeCell ref="P162:R162"/>
    <mergeCell ref="P161:R161"/>
    <mergeCell ref="CE266:CF266"/>
    <mergeCell ref="CE267:CF267"/>
    <mergeCell ref="BY251:BZ251"/>
    <mergeCell ref="BY252:BZ252"/>
    <mergeCell ref="AL189:AM189"/>
    <mergeCell ref="BI229:BK229"/>
    <mergeCell ref="BH229:BH230"/>
    <mergeCell ref="BM229:BM230"/>
    <mergeCell ref="BR243:BU243"/>
    <mergeCell ref="BN229:BP229"/>
    <mergeCell ref="BB218:BF218"/>
    <mergeCell ref="BB224:BF224"/>
    <mergeCell ref="AL191:AL194"/>
    <mergeCell ref="AI160:AJ161"/>
    <mergeCell ref="AI162:AI166"/>
    <mergeCell ref="AI167:AI171"/>
    <mergeCell ref="AM160:AN161"/>
    <mergeCell ref="AM162:AM166"/>
    <mergeCell ref="AM167:AM171"/>
  </mergeCells>
  <conditionalFormatting sqref="AS226">
    <cfRule type="expression" dxfId="8" priority="7">
      <formula>IF(AS226="SŽDC",0,IF(AS226="Ostatní",0,IF(AS226="",0,1)))=1</formula>
    </cfRule>
    <cfRule type="expression" dxfId="7" priority="8">
      <formula>ISTEXT($D224)=TRUE</formula>
    </cfRule>
    <cfRule type="expression" dxfId="6" priority="9">
      <formula>ISTEXT($C224)=TRUE</formula>
    </cfRule>
  </conditionalFormatting>
  <conditionalFormatting sqref="AS227 AS282:AS304 AS252:AS278">
    <cfRule type="expression" dxfId="5" priority="6">
      <formula>$N225="Chyba"</formula>
    </cfRule>
  </conditionalFormatting>
  <conditionalFormatting sqref="AS228:AS248">
    <cfRule type="expression" dxfId="4" priority="5">
      <formula>$N226="Chyba"</formula>
    </cfRule>
  </conditionalFormatting>
  <conditionalFormatting sqref="AS249:AS251">
    <cfRule type="expression" dxfId="3" priority="4">
      <formula>$N247="Chyba"</formula>
    </cfRule>
  </conditionalFormatting>
  <conditionalFormatting sqref="AS309:AS310">
    <cfRule type="expression" dxfId="2" priority="2">
      <formula>$N307="Chyba"</formula>
    </cfRule>
  </conditionalFormatting>
  <conditionalFormatting sqref="AS308">
    <cfRule type="expression" dxfId="1" priority="1">
      <formula>$N306="Chyba"</formula>
    </cfRule>
  </conditionalFormatting>
  <conditionalFormatting sqref="AS280:AS281">
    <cfRule type="expression" dxfId="0" priority="11">
      <formula>$N276="Chyba"</formula>
    </cfRule>
  </conditionalFormatting>
  <dataValidations disablePrompts="1" count="4">
    <dataValidation allowBlank="1" showInputMessage="1" showErrorMessage="1" prompt="Název provozního souboru BEZ čísla PS." sqref="AR198:AR223" xr:uid="{00000000-0002-0000-0100-000000000000}"/>
    <dataValidation allowBlank="1" showInputMessage="1" showErrorMessage="1" prompt="Číslo SO ve formátu_x000a_SO-XX-XX-XX" sqref="AQ308:AQ310 AQ226:AQ278 AQ280:AQ304" xr:uid="{00000000-0002-0000-0100-000001000000}"/>
    <dataValidation allowBlank="1" showInputMessage="1" showErrorMessage="1" prompt="Název staveního objektu BEZ čísla SO." sqref="AR308:AR310 AR226:AR278 AR280:AR304" xr:uid="{00000000-0002-0000-0100-000002000000}"/>
    <dataValidation type="list" allowBlank="1" showInputMessage="1" showErrorMessage="1" prompt="Označení majetku SŽDC nebo Ostatní provedeno pouze výběrem._x000a_" sqref="AS308:AS310 AS226:AS278 AS280:AS304" xr:uid="{00000000-0002-0000-0100-000003000000}">
      <formula1>"SŽDC,Ostatní"</formula1>
    </dataValidation>
  </dataValidations>
  <pageMargins left="0.7" right="0.7" top="0.78740157499999996" bottom="0.78740157499999996" header="0.3" footer="0.3"/>
  <pageSetup paperSize="9" orientation="portrait" verticalDpi="597" r:id="rId1"/>
  <ignoredErrors>
    <ignoredError sqref="AT197:AT223 AT280:AT304 AT226:AT277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Libosvárová</dc:creator>
  <cp:lastModifiedBy>Havlíková Ivana Ing.</cp:lastModifiedBy>
  <dcterms:created xsi:type="dcterms:W3CDTF">2014-03-03T08:44:29Z</dcterms:created>
  <dcterms:modified xsi:type="dcterms:W3CDTF">2020-04-14T16:25:53Z</dcterms:modified>
</cp:coreProperties>
</file>